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O:\OPST\setřesná\6.11.2023\"/>
    </mc:Choice>
  </mc:AlternateContent>
  <xr:revisionPtr revIDLastSave="0" documentId="13_ncr:1_{8AE11A77-8FAB-4F09-B4CC-9FA88303DAB5}" xr6:coauthVersionLast="36" xr6:coauthVersionMax="36" xr10:uidLastSave="{00000000-0000-0000-0000-000000000000}"/>
  <bookViews>
    <workbookView xWindow="0" yWindow="0" windowWidth="28800" windowHeight="11625" activeTab="2" xr2:uid="{00000000-000D-0000-FFFF-FFFF00000000}"/>
  </bookViews>
  <sheets>
    <sheet name="n+3" sheetId="7" r:id="rId1"/>
    <sheet name="Finanční plán" sheetId="8" r:id="rId2"/>
    <sheet name="KVK" sheetId="1" r:id="rId3"/>
    <sheet name="KVK_navrh_kraje_202309" sheetId="2" state="hidden" r:id="rId4"/>
    <sheet name="ULK" sheetId="3" r:id="rId5"/>
    <sheet name="MSK" sheetId="6" r:id="rId6"/>
    <sheet name="MSK_rozdělení alokace_9_2023" sheetId="5" state="hidden" r:id="rId7"/>
  </sheets>
  <externalReferences>
    <externalReference r:id="rId8"/>
  </externalReferences>
  <definedNames>
    <definedName name="FP_TABLE_10" localSheetId="1">#REF!</definedName>
    <definedName name="FP_TABLE_10" localSheetId="5">#REF!</definedName>
    <definedName name="FP_TABLE_10">#REF!</definedName>
    <definedName name="FP_TABLE_10_2" localSheetId="1">#REF!</definedName>
    <definedName name="FP_TABLE_10_2" localSheetId="5">#REF!</definedName>
    <definedName name="FP_TABLE_10_2">#REF!</definedName>
    <definedName name="FP_TABLE_102" localSheetId="1">#REF!</definedName>
    <definedName name="FP_TABLE_102">#REF!</definedName>
    <definedName name="page1" localSheetId="3">KVK_navrh_kraje_202309!#REF!</definedName>
  </definedNames>
  <calcPr calcId="191029"/>
</workbook>
</file>

<file path=xl/calcChain.xml><?xml version="1.0" encoding="utf-8"?>
<calcChain xmlns="http://schemas.openxmlformats.org/spreadsheetml/2006/main">
  <c r="F6" i="1" l="1"/>
  <c r="F7" i="1"/>
  <c r="F8" i="1"/>
  <c r="G8" i="1"/>
  <c r="G7" i="1"/>
  <c r="G6" i="1"/>
  <c r="H6" i="1"/>
  <c r="H7" i="1"/>
  <c r="H8" i="1"/>
  <c r="I6" i="1"/>
  <c r="I7" i="1" s="1"/>
  <c r="I8" i="1" s="1"/>
  <c r="R41" i="8" l="1"/>
  <c r="R40" i="8"/>
  <c r="R39" i="8"/>
  <c r="R38" i="8"/>
  <c r="R37" i="8"/>
  <c r="R36" i="8"/>
  <c r="J30" i="8"/>
  <c r="C30" i="8"/>
  <c r="H29" i="8"/>
  <c r="H28" i="8" s="1"/>
  <c r="C29" i="8"/>
  <c r="C28" i="8"/>
  <c r="D27" i="8"/>
  <c r="C27" i="8"/>
  <c r="C26" i="8"/>
  <c r="C25" i="8"/>
  <c r="J24" i="8"/>
  <c r="C24" i="8"/>
  <c r="C23" i="8"/>
  <c r="C22" i="8"/>
  <c r="H21" i="8"/>
  <c r="D21" i="8"/>
  <c r="C21" i="8"/>
  <c r="C20" i="8"/>
  <c r="C19" i="8"/>
  <c r="C31" i="8" s="1"/>
  <c r="K14" i="8"/>
  <c r="K30" i="8" s="1"/>
  <c r="J14" i="8"/>
  <c r="I14" i="8"/>
  <c r="I30" i="8" s="1"/>
  <c r="H43" i="8" s="1"/>
  <c r="H14" i="8"/>
  <c r="H30" i="8" s="1"/>
  <c r="G14" i="8"/>
  <c r="G30" i="8" s="1"/>
  <c r="F14" i="8"/>
  <c r="F30" i="8" s="1"/>
  <c r="E14" i="8"/>
  <c r="E30" i="8" s="1"/>
  <c r="D14" i="8"/>
  <c r="D30" i="8" s="1"/>
  <c r="L30" i="8" s="1"/>
  <c r="G43" i="8" s="1"/>
  <c r="F43" i="8" s="1"/>
  <c r="K13" i="8"/>
  <c r="K29" i="8" s="1"/>
  <c r="K28" i="8" s="1"/>
  <c r="J13" i="8"/>
  <c r="J29" i="8" s="1"/>
  <c r="J28" i="8" s="1"/>
  <c r="I13" i="8"/>
  <c r="I12" i="8" s="1"/>
  <c r="H13" i="8"/>
  <c r="H12" i="8" s="1"/>
  <c r="G13" i="8"/>
  <c r="G29" i="8" s="1"/>
  <c r="F13" i="8"/>
  <c r="F29" i="8" s="1"/>
  <c r="E13" i="8"/>
  <c r="E29" i="8" s="1"/>
  <c r="D13" i="8"/>
  <c r="D29" i="8" s="1"/>
  <c r="K12" i="8"/>
  <c r="J12" i="8"/>
  <c r="F12" i="8"/>
  <c r="D12" i="8"/>
  <c r="K11" i="8"/>
  <c r="K27" i="8" s="1"/>
  <c r="J11" i="8"/>
  <c r="J27" i="8" s="1"/>
  <c r="I11" i="8"/>
  <c r="I24" i="8" s="1"/>
  <c r="H11" i="8"/>
  <c r="H24" i="8" s="1"/>
  <c r="G11" i="8"/>
  <c r="G24" i="8" s="1"/>
  <c r="F11" i="8"/>
  <c r="F24" i="8" s="1"/>
  <c r="E11" i="8"/>
  <c r="E24" i="8" s="1"/>
  <c r="D11" i="8"/>
  <c r="D24" i="8" s="1"/>
  <c r="K10" i="8"/>
  <c r="K26" i="8" s="1"/>
  <c r="J10" i="8"/>
  <c r="J26" i="8" s="1"/>
  <c r="I10" i="8"/>
  <c r="I26" i="8" s="1"/>
  <c r="H10" i="8"/>
  <c r="H9" i="8" s="1"/>
  <c r="G10" i="8"/>
  <c r="G23" i="8" s="1"/>
  <c r="G22" i="8" s="1"/>
  <c r="F10" i="8"/>
  <c r="F23" i="8" s="1"/>
  <c r="F22" i="8" s="1"/>
  <c r="E10" i="8"/>
  <c r="E23" i="8" s="1"/>
  <c r="E22" i="8" s="1"/>
  <c r="D10" i="8"/>
  <c r="D9" i="8" s="1"/>
  <c r="D15" i="8" s="1"/>
  <c r="I9" i="8"/>
  <c r="G9" i="8"/>
  <c r="E9" i="8"/>
  <c r="C9" i="8"/>
  <c r="H15" i="8" l="1"/>
  <c r="K25" i="8"/>
  <c r="J25" i="8"/>
  <c r="E28" i="8"/>
  <c r="O43" i="8"/>
  <c r="H40" i="8"/>
  <c r="D28" i="8"/>
  <c r="E15" i="8"/>
  <c r="F28" i="8"/>
  <c r="I15" i="8"/>
  <c r="G28" i="8"/>
  <c r="F9" i="8"/>
  <c r="F15" i="8" s="1"/>
  <c r="L11" i="8"/>
  <c r="E21" i="8"/>
  <c r="L21" i="8" s="1"/>
  <c r="I23" i="8"/>
  <c r="K24" i="8"/>
  <c r="H39" i="8" s="1"/>
  <c r="E27" i="8"/>
  <c r="L27" i="8" s="1"/>
  <c r="G41" i="8" s="1"/>
  <c r="F41" i="8" s="1"/>
  <c r="I29" i="8"/>
  <c r="D20" i="8"/>
  <c r="F21" i="8"/>
  <c r="J23" i="8"/>
  <c r="J22" i="8" s="1"/>
  <c r="D26" i="8"/>
  <c r="D25" i="8" s="1"/>
  <c r="F27" i="8"/>
  <c r="E12" i="8"/>
  <c r="L12" i="8" s="1"/>
  <c r="E20" i="8"/>
  <c r="E19" i="8" s="1"/>
  <c r="G21" i="8"/>
  <c r="K23" i="8"/>
  <c r="E26" i="8"/>
  <c r="E25" i="8" s="1"/>
  <c r="G27" i="8"/>
  <c r="H23" i="8"/>
  <c r="H22" i="8" s="1"/>
  <c r="F20" i="8"/>
  <c r="F26" i="8"/>
  <c r="F25" i="8" s="1"/>
  <c r="H27" i="8"/>
  <c r="G12" i="8"/>
  <c r="G15" i="8" s="1"/>
  <c r="C15" i="8"/>
  <c r="G20" i="8"/>
  <c r="G19" i="8" s="1"/>
  <c r="I21" i="8"/>
  <c r="G26" i="8"/>
  <c r="I27" i="8"/>
  <c r="H41" i="8" s="1"/>
  <c r="L14" i="8"/>
  <c r="H20" i="8"/>
  <c r="H19" i="8" s="1"/>
  <c r="J21" i="8"/>
  <c r="H26" i="8"/>
  <c r="H25" i="8" s="1"/>
  <c r="L10" i="8"/>
  <c r="J9" i="8"/>
  <c r="J15" i="8" s="1"/>
  <c r="K9" i="8"/>
  <c r="K15" i="8" s="1"/>
  <c r="L13" i="8"/>
  <c r="I20" i="8"/>
  <c r="K21" i="8"/>
  <c r="J20" i="8"/>
  <c r="D23" i="8"/>
  <c r="K20" i="8"/>
  <c r="K19" i="8" s="1"/>
  <c r="O41" i="8" l="1"/>
  <c r="L20" i="8"/>
  <c r="G36" i="8" s="1"/>
  <c r="D19" i="8"/>
  <c r="L24" i="8"/>
  <c r="G39" i="8" s="1"/>
  <c r="F39" i="8" s="1"/>
  <c r="F19" i="8"/>
  <c r="F31" i="8" s="1"/>
  <c r="H42" i="8"/>
  <c r="I28" i="8"/>
  <c r="L28" i="8" s="1"/>
  <c r="H31" i="8"/>
  <c r="L29" i="8"/>
  <c r="G42" i="8" s="1"/>
  <c r="F42" i="8" s="1"/>
  <c r="D22" i="8"/>
  <c r="L23" i="8"/>
  <c r="K22" i="8"/>
  <c r="I22" i="8"/>
  <c r="H38" i="8"/>
  <c r="L9" i="8"/>
  <c r="J19" i="8"/>
  <c r="J31" i="8" s="1"/>
  <c r="G25" i="8"/>
  <c r="G31" i="8" s="1"/>
  <c r="I25" i="8"/>
  <c r="H37" i="8"/>
  <c r="H47" i="8" s="1"/>
  <c r="E31" i="8"/>
  <c r="K31" i="8"/>
  <c r="I19" i="8"/>
  <c r="H36" i="8"/>
  <c r="H46" i="8" s="1"/>
  <c r="L26" i="8"/>
  <c r="G40" i="8" s="1"/>
  <c r="F40" i="8" s="1"/>
  <c r="L15" i="8"/>
  <c r="P43" i="8"/>
  <c r="J43" i="8" s="1"/>
  <c r="O39" i="8" l="1"/>
  <c r="L25" i="8"/>
  <c r="L19" i="8"/>
  <c r="D31" i="8"/>
  <c r="L31" i="8" s="1"/>
  <c r="O40" i="8"/>
  <c r="G46" i="8"/>
  <c r="F36" i="8"/>
  <c r="O42" i="8"/>
  <c r="Q43" i="8"/>
  <c r="K43" i="8" s="1"/>
  <c r="I43" i="8" s="1"/>
  <c r="L43" i="8" s="1"/>
  <c r="H48" i="8"/>
  <c r="G37" i="8"/>
  <c r="I31" i="8"/>
  <c r="G38" i="8"/>
  <c r="F38" i="8" s="1"/>
  <c r="L22" i="8"/>
  <c r="P41" i="8"/>
  <c r="J41" i="8" s="1"/>
  <c r="P42" i="8" l="1"/>
  <c r="J42" i="8" s="1"/>
  <c r="O36" i="8"/>
  <c r="F46" i="8"/>
  <c r="Q41" i="8"/>
  <c r="K41" i="8" s="1"/>
  <c r="I41" i="8" s="1"/>
  <c r="L41" i="8" s="1"/>
  <c r="O38" i="8"/>
  <c r="G47" i="8"/>
  <c r="G48" i="8" s="1"/>
  <c r="F37" i="8"/>
  <c r="P40" i="8"/>
  <c r="J40" i="8" s="1"/>
  <c r="P39" i="8"/>
  <c r="J39" i="8" s="1"/>
  <c r="F47" i="8" l="1"/>
  <c r="F48" i="8" s="1"/>
  <c r="O37" i="8"/>
  <c r="P36" i="8"/>
  <c r="J36" i="8" s="1"/>
  <c r="P38" i="8"/>
  <c r="J38" i="8" s="1"/>
  <c r="Q39" i="8"/>
  <c r="K39" i="8" s="1"/>
  <c r="I39" i="8" s="1"/>
  <c r="L39" i="8" s="1"/>
  <c r="I42" i="8"/>
  <c r="L42" i="8" s="1"/>
  <c r="Q40" i="8"/>
  <c r="K40" i="8" s="1"/>
  <c r="I40" i="8" s="1"/>
  <c r="L40" i="8" s="1"/>
  <c r="Q42" i="8"/>
  <c r="K42" i="8" s="1"/>
  <c r="Q38" i="8" l="1"/>
  <c r="K38" i="8" s="1"/>
  <c r="I38" i="8" s="1"/>
  <c r="L38" i="8" s="1"/>
  <c r="J46" i="8"/>
  <c r="Q36" i="8"/>
  <c r="K36" i="8" s="1"/>
  <c r="K46" i="8" s="1"/>
  <c r="P37" i="8"/>
  <c r="J37" i="8" s="1"/>
  <c r="J47" i="8" l="1"/>
  <c r="J48" i="8" s="1"/>
  <c r="I36" i="8"/>
  <c r="Q37" i="8"/>
  <c r="K37" i="8" s="1"/>
  <c r="K47" i="8" s="1"/>
  <c r="K48" i="8" s="1"/>
  <c r="I46" i="8" l="1"/>
  <c r="L36" i="8"/>
  <c r="L46" i="8" s="1"/>
  <c r="I37" i="8"/>
  <c r="I47" i="8" l="1"/>
  <c r="I48" i="8" s="1"/>
  <c r="L37" i="8"/>
  <c r="L47" i="8" s="1"/>
  <c r="L48" i="8" s="1"/>
  <c r="H12" i="6" l="1"/>
  <c r="H11" i="6"/>
  <c r="G7" i="6"/>
  <c r="F7" i="6"/>
  <c r="E7" i="6"/>
  <c r="G6" i="6"/>
  <c r="F6" i="6"/>
  <c r="E6" i="6"/>
  <c r="G5" i="6"/>
  <c r="H5" i="6"/>
  <c r="H6" i="6" s="1"/>
  <c r="F5" i="6"/>
  <c r="E5" i="6"/>
  <c r="C13" i="6"/>
  <c r="C12" i="6"/>
  <c r="B11" i="6"/>
  <c r="C11" i="6" s="1"/>
  <c r="C10" i="6"/>
  <c r="C9" i="6"/>
  <c r="C8" i="6"/>
  <c r="B7" i="6"/>
  <c r="D14" i="1"/>
  <c r="D13" i="1"/>
  <c r="C12" i="1"/>
  <c r="D12" i="1" s="1"/>
  <c r="D11" i="1"/>
  <c r="D10" i="1"/>
  <c r="D9" i="1"/>
  <c r="C8" i="1"/>
  <c r="D8" i="1" s="1"/>
  <c r="C7" i="1"/>
  <c r="D7" i="1" s="1"/>
  <c r="D6" i="1"/>
  <c r="I12" i="1"/>
  <c r="I13" i="1" s="1"/>
  <c r="L8" i="3"/>
  <c r="K8" i="3"/>
  <c r="K7" i="3"/>
  <c r="L7" i="3"/>
  <c r="M13" i="3"/>
  <c r="E13" i="3" s="1"/>
  <c r="M12" i="3"/>
  <c r="E12" i="3" s="1"/>
  <c r="M7" i="3"/>
  <c r="L6" i="3"/>
  <c r="M6" i="3"/>
  <c r="K6" i="3"/>
  <c r="J6" i="3"/>
  <c r="J8" i="3"/>
  <c r="J7" i="3"/>
  <c r="H34" i="5"/>
  <c r="H33" i="5"/>
  <c r="H36" i="5" s="1"/>
  <c r="K20" i="5"/>
  <c r="K19" i="5"/>
  <c r="G7" i="5"/>
  <c r="G26" i="5" s="1"/>
  <c r="D7" i="5"/>
  <c r="D26" i="5" s="1"/>
  <c r="C7" i="5"/>
  <c r="B7" i="5"/>
  <c r="C6" i="5"/>
  <c r="B6" i="5"/>
  <c r="B5" i="5"/>
  <c r="C4" i="5"/>
  <c r="B4" i="5"/>
  <c r="C55" i="3"/>
  <c r="C54" i="3"/>
  <c r="C53" i="3"/>
  <c r="C52" i="3"/>
  <c r="D14" i="3"/>
  <c r="D13" i="3"/>
  <c r="D55" i="3" s="1"/>
  <c r="C12" i="3"/>
  <c r="D12" i="3" s="1"/>
  <c r="D11" i="3"/>
  <c r="D10" i="3"/>
  <c r="D9" i="3"/>
  <c r="C8" i="3"/>
  <c r="D8" i="3" s="1"/>
  <c r="D51" i="3" s="1"/>
  <c r="I32" i="3"/>
  <c r="H32" i="3" s="1"/>
  <c r="G32" i="3"/>
  <c r="I31" i="3"/>
  <c r="H31" i="3" s="1"/>
  <c r="G31" i="3"/>
  <c r="I30" i="3"/>
  <c r="H30" i="3"/>
  <c r="G30" i="3"/>
  <c r="I29" i="3"/>
  <c r="H29" i="3" s="1"/>
  <c r="G29" i="3"/>
  <c r="I28" i="3"/>
  <c r="H28" i="3" s="1"/>
  <c r="G28" i="3"/>
  <c r="I27" i="3"/>
  <c r="H27" i="3"/>
  <c r="G27" i="3"/>
  <c r="I26" i="3"/>
  <c r="H26" i="3" s="1"/>
  <c r="G26" i="3"/>
  <c r="I25" i="3"/>
  <c r="H25" i="3"/>
  <c r="G25" i="3"/>
  <c r="I24" i="3"/>
  <c r="H24" i="3" s="1"/>
  <c r="G24" i="3"/>
  <c r="I23" i="3"/>
  <c r="H23" i="3" s="1"/>
  <c r="G23" i="3"/>
  <c r="I22" i="3"/>
  <c r="H22" i="3" s="1"/>
  <c r="G22" i="3"/>
  <c r="I21" i="3"/>
  <c r="H21" i="3" s="1"/>
  <c r="G21" i="3"/>
  <c r="I20" i="3"/>
  <c r="H20" i="3" s="1"/>
  <c r="G20" i="3"/>
  <c r="I19" i="3"/>
  <c r="H19" i="3" s="1"/>
  <c r="G19" i="3"/>
  <c r="F29" i="2"/>
  <c r="F32" i="2" s="1"/>
  <c r="G28" i="2"/>
  <c r="F28" i="2"/>
  <c r="K25" i="2"/>
  <c r="K24" i="2"/>
  <c r="L23" i="2"/>
  <c r="K23" i="2"/>
  <c r="C69" i="1"/>
  <c r="C68" i="1"/>
  <c r="C67" i="1"/>
  <c r="C66" i="1"/>
  <c r="D57" i="1"/>
  <c r="D56" i="1"/>
  <c r="D69" i="1" s="1"/>
  <c r="C55" i="1"/>
  <c r="D55" i="1" s="1"/>
  <c r="D54" i="1"/>
  <c r="D53" i="1"/>
  <c r="D52" i="1"/>
  <c r="C51" i="1"/>
  <c r="D51" i="1" s="1"/>
  <c r="D65" i="1" s="1"/>
  <c r="C50" i="1"/>
  <c r="D50" i="1" s="1"/>
  <c r="D64" i="1" s="1"/>
  <c r="D49" i="1"/>
  <c r="E55" i="3" l="1"/>
  <c r="D5" i="6"/>
  <c r="D6" i="6"/>
  <c r="D11" i="6"/>
  <c r="I11" i="6" s="1"/>
  <c r="D12" i="6"/>
  <c r="I12" i="6" s="1"/>
  <c r="B5" i="6"/>
  <c r="B6" i="6" s="1"/>
  <c r="C6" i="6" s="1"/>
  <c r="C7" i="6"/>
  <c r="E8" i="1"/>
  <c r="C65" i="1"/>
  <c r="C64" i="1" s="1"/>
  <c r="E64" i="1" s="1"/>
  <c r="E6" i="1"/>
  <c r="E7" i="1"/>
  <c r="J7" i="1" s="1"/>
  <c r="E12" i="1"/>
  <c r="J12" i="1" s="1"/>
  <c r="E13" i="1"/>
  <c r="J13" i="1" s="1"/>
  <c r="E8" i="3"/>
  <c r="N8" i="3" s="1"/>
  <c r="E6" i="3"/>
  <c r="C51" i="3"/>
  <c r="E51" i="3" s="1"/>
  <c r="E7" i="3"/>
  <c r="N12" i="3"/>
  <c r="N13" i="3"/>
  <c r="D36" i="5"/>
  <c r="D41" i="5" s="1"/>
  <c r="D42" i="5" s="1"/>
  <c r="D32" i="5"/>
  <c r="D33" i="5" s="1"/>
  <c r="D27" i="5"/>
  <c r="G27" i="5"/>
  <c r="L26" i="5"/>
  <c r="E69" i="1"/>
  <c r="C6" i="3"/>
  <c r="D37" i="5"/>
  <c r="C5" i="6" l="1"/>
  <c r="I5" i="6" s="1"/>
  <c r="I6" i="6"/>
  <c r="D7" i="6"/>
  <c r="I7" i="6" s="1"/>
  <c r="E65" i="1"/>
  <c r="J8" i="1"/>
  <c r="J6" i="1"/>
  <c r="C50" i="3"/>
  <c r="C7" i="3"/>
  <c r="D7" i="3" s="1"/>
  <c r="D6" i="3"/>
  <c r="N6" i="3" s="1"/>
  <c r="D50" i="3" l="1"/>
  <c r="E50" i="3" s="1"/>
  <c r="N7" i="3"/>
</calcChain>
</file>

<file path=xl/sharedStrings.xml><?xml version="1.0" encoding="utf-8"?>
<sst xmlns="http://schemas.openxmlformats.org/spreadsheetml/2006/main" count="986" uniqueCount="317">
  <si>
    <t>rok vyhlášení</t>
  </si>
  <si>
    <t>Oblast podpory</t>
  </si>
  <si>
    <t>Fond</t>
  </si>
  <si>
    <t>Typ</t>
  </si>
  <si>
    <t>Výzva</t>
  </si>
  <si>
    <t>% alokace priority</t>
  </si>
  <si>
    <t>Kontrola klima tagu</t>
  </si>
  <si>
    <t>Příspěvek ke klimatu</t>
  </si>
  <si>
    <t>Celkový příspěvek EU (Kč)</t>
  </si>
  <si>
    <t>Stav</t>
  </si>
  <si>
    <t>Poznámka</t>
  </si>
  <si>
    <t>Různé</t>
  </si>
  <si>
    <t>FST</t>
  </si>
  <si>
    <t>SP</t>
  </si>
  <si>
    <t>Strategické projekty</t>
  </si>
  <si>
    <t>Vyhlášeno</t>
  </si>
  <si>
    <t>Lidé a dovednosti</t>
  </si>
  <si>
    <t>TV</t>
  </si>
  <si>
    <t>Odborné učebny</t>
  </si>
  <si>
    <t>Připočteno navýšení schválené RSK</t>
  </si>
  <si>
    <t>Digitální inovace</t>
  </si>
  <si>
    <t>Konektivita škol</t>
  </si>
  <si>
    <t>Oběhové hospodářství</t>
  </si>
  <si>
    <t>Inovace v oběhovém hospodářství</t>
  </si>
  <si>
    <t>Podnikání</t>
  </si>
  <si>
    <t>ZP</t>
  </si>
  <si>
    <t>Vouchery pro podnikatele</t>
  </si>
  <si>
    <t>FN</t>
  </si>
  <si>
    <t>Úvěr Transformace</t>
  </si>
  <si>
    <t>Vouchery pro veřejný sektor</t>
  </si>
  <si>
    <t>V plánu</t>
  </si>
  <si>
    <t>Vzdělávání ve firmách</t>
  </si>
  <si>
    <t>Obnova území</t>
  </si>
  <si>
    <t>Příprava projektů</t>
  </si>
  <si>
    <t>Infrastruktura</t>
  </si>
  <si>
    <t>Příroda a krajina</t>
  </si>
  <si>
    <t>Veřejné služby, kultura, sport a rekreace</t>
  </si>
  <si>
    <t>Předprojektová příprava</t>
  </si>
  <si>
    <t>Řemeslné inkubátory</t>
  </si>
  <si>
    <t>Vouchery pro podnikatele II</t>
  </si>
  <si>
    <t>Navazující druhá tranše (navýšena o 60 mil. Kč)</t>
  </si>
  <si>
    <t>Vouchery pro veřejný sektor II</t>
  </si>
  <si>
    <t xml:space="preserve">Navazující druhá tranše   </t>
  </si>
  <si>
    <t>Úvěr Transformace II</t>
  </si>
  <si>
    <t>Pokud bude formou dotace</t>
  </si>
  <si>
    <t>Věda a výzkum</t>
  </si>
  <si>
    <t>Pokud budou pro KVK vhodně nastavené podmínky</t>
  </si>
  <si>
    <t>Sociální oblast</t>
  </si>
  <si>
    <t xml:space="preserve">Prevence sociálního vyloučení v souvislosti s transformací kraje </t>
  </si>
  <si>
    <t>Čistá energie</t>
  </si>
  <si>
    <t>H2 údolí</t>
  </si>
  <si>
    <t>Odborné učebny - ZŠ</t>
  </si>
  <si>
    <t>Tab. 1: Strukturovaný přehled alokace kraje</t>
  </si>
  <si>
    <t>EUR</t>
  </si>
  <si>
    <t>Kč (kurz 24)</t>
  </si>
  <si>
    <t>Celková alokace kraje</t>
  </si>
  <si>
    <t>Celková alokace kraje bez flexibility</t>
  </si>
  <si>
    <t>Alokace 22-25</t>
  </si>
  <si>
    <t>- z toho alokace 22 (plnění n+3 na konci 25)</t>
  </si>
  <si>
    <t>- z toho alokace 23 (plnění n+3 na konci 26)</t>
  </si>
  <si>
    <t xml:space="preserve">- z toho alokace 24-25 </t>
  </si>
  <si>
    <t xml:space="preserve">Alokace 26-27 </t>
  </si>
  <si>
    <t>Alokace 26-27 bez flexibility</t>
  </si>
  <si>
    <t>Flexibilita 26-27</t>
  </si>
  <si>
    <t>Tab. 2: Rozplánování alokace do výzev</t>
  </si>
  <si>
    <t>Kč</t>
  </si>
  <si>
    <t>Převzato z tabulky 1</t>
  </si>
  <si>
    <t>Přeplánováno (+) / Nedoplánováno (-)</t>
  </si>
  <si>
    <t>Rozplánováno celkem</t>
  </si>
  <si>
    <t>Rozplánováno 22-25</t>
  </si>
  <si>
    <t>z toho rozplánováno 22-25 - v plánu / vyhlášeno</t>
  </si>
  <si>
    <t>z toho rozplánováno 22-25 - předpokládáno 1</t>
  </si>
  <si>
    <t>z toho rozplánováno 22-25 - předpokládáno 2</t>
  </si>
  <si>
    <t>Rozplánováno 26-27 - předpokládáno 3</t>
  </si>
  <si>
    <t>HARMONOGRAM VÝZEV  OPST - Karlovarský kraj</t>
  </si>
  <si>
    <t>Typ podpory</t>
  </si>
  <si>
    <t>Název výzvy</t>
  </si>
  <si>
    <t>Typ výzvy</t>
  </si>
  <si>
    <t>Model hodnocení</t>
  </si>
  <si>
    <t>Aktivity</t>
  </si>
  <si>
    <t>Příjemci</t>
  </si>
  <si>
    <t>Vyhlášení výzvy</t>
  </si>
  <si>
    <t>Příjem žádostí</t>
  </si>
  <si>
    <t>Ukončení příjmu žádostí</t>
  </si>
  <si>
    <t>Alokace (příspěvek EU,Kč)</t>
  </si>
  <si>
    <t>Navýšení alokace</t>
  </si>
  <si>
    <t>průběžná</t>
  </si>
  <si>
    <t>jednokolový</t>
  </si>
  <si>
    <t>dle studií proveditelnosti</t>
  </si>
  <si>
    <t>nositelé strategických projektů</t>
  </si>
  <si>
    <t>modernizace a vybavení odborných učeben SŠ</t>
  </si>
  <si>
    <t>střední školy</t>
  </si>
  <si>
    <t>schváleno RSK</t>
  </si>
  <si>
    <t>vnitřní konektivita ZŠ a SŠ</t>
  </si>
  <si>
    <t>základní a střední školy</t>
  </si>
  <si>
    <t>investice do inovativních zařízení v odpadovém hospodářství</t>
  </si>
  <si>
    <t>všechny subjekty kromě F.O. nepodnikajících a dalších příjemců vyloučených pravidly pro žadatele</t>
  </si>
  <si>
    <t>voucher pro rozvoj podnikání, digitální voucher, inovační voucher</t>
  </si>
  <si>
    <t>kraj</t>
  </si>
  <si>
    <t xml:space="preserve">30 mil. alokováno na druhou výzvu + 60 mil. navýšení </t>
  </si>
  <si>
    <t>investice do hmotného i nehmotného majetku</t>
  </si>
  <si>
    <t>malé a střední podniky</t>
  </si>
  <si>
    <t>v případě, že se upraví FN na dotace/úvěr</t>
  </si>
  <si>
    <t>příprava, plánování a koordinace rozvoje území</t>
  </si>
  <si>
    <t>dle podporovaných aktivit, obce a kraje, v některých obce a kraje, v některých aktivitách také státní organizace, NNO a fyzické osoby</t>
  </si>
  <si>
    <t>přírodě blízká opatření, opatření přispívající k ochraně biodiverzity</t>
  </si>
  <si>
    <t>všechny subjekty s výjimkou politických stran a hnutí</t>
  </si>
  <si>
    <t>výstavba a modernizace komunikací pro cyklisty, zpřístupnění lokalit s přírodní, kulturní nebo technickou hodnotou</t>
  </si>
  <si>
    <t>vzdělávání a rekvalifikace v podnicích zasažených transformací</t>
  </si>
  <si>
    <t>podniky, profesní a podnikatelská sdružení</t>
  </si>
  <si>
    <t>náborové příspěvky pro učitele</t>
  </si>
  <si>
    <t>částka alokována na druhou výzvu</t>
  </si>
  <si>
    <t>Příprava projektů, kreativní, digitální a preinkubační voucher</t>
  </si>
  <si>
    <t>dvoukolový</t>
  </si>
  <si>
    <t>podpora kultury a zachování kulturního dědictví, budování a zachování kulturního dědictví, budování sportovní a multifunkční rekreační infrastruktury nabízející kulturní a rekreační služby, regenerace brownfieldů pro účely vzdělávací infrastruktury, sociálních služeb, zdravotnictví nebo budování veřejných prostranství a infrastruktury</t>
  </si>
  <si>
    <t>všechny subjekty s výjimkou politických stran a hnutí a fyzických osob</t>
  </si>
  <si>
    <t>Podpora vzniku řemeslných dílen</t>
  </si>
  <si>
    <t>Veřejné subjekty, neziskové organizace, MSP</t>
  </si>
  <si>
    <t>KVK navrhoval pouze 50 mil.</t>
  </si>
  <si>
    <t>Předprojektová příprava strategických projektů a brownfieldů</t>
  </si>
  <si>
    <t>Podpora předprojektové a navazující projektové přípravy strategických projektů a strategických brownfieldů</t>
  </si>
  <si>
    <t>SFŽP</t>
  </si>
  <si>
    <t>věda a výzkum</t>
  </si>
  <si>
    <t>u této výzvy, si nejsme jisti, záleží na návrhu připravovaných podmínek, zda budou v souladu s prrjekty KVK</t>
  </si>
  <si>
    <t>sociální oblast</t>
  </si>
  <si>
    <t xml:space="preserve"> prevence sociálního vyloučení v souvislosti s transformací kraje </t>
  </si>
  <si>
    <t>alokace bude rozdělena do dvou výzev v poměru 40/60</t>
  </si>
  <si>
    <t>modernizace a vybavení odborných učeben ZŠ</t>
  </si>
  <si>
    <t>základní školy</t>
  </si>
  <si>
    <t>Celkem na TV OPST</t>
  </si>
  <si>
    <t>Celková alokace na TV OPST včetně navýšení</t>
  </si>
  <si>
    <t xml:space="preserve">Zůstatek z celkové alokace OPST </t>
  </si>
  <si>
    <t>SP - strategické projekty</t>
  </si>
  <si>
    <t>TV - tematické výzvy</t>
  </si>
  <si>
    <t>celkem</t>
  </si>
  <si>
    <t>ZP - zastřešující projekty</t>
  </si>
  <si>
    <t>alokace bez SP</t>
  </si>
  <si>
    <t>FN - finanční nástroje</t>
  </si>
  <si>
    <t>flexibilita</t>
  </si>
  <si>
    <t>Zbývající alokace 2026-2027</t>
  </si>
  <si>
    <t>zůstatek bez SP,flex.</t>
  </si>
  <si>
    <t>Rok vyhlášení</t>
  </si>
  <si>
    <t>Oblast intervence</t>
  </si>
  <si>
    <t>Filmové vouchery</t>
  </si>
  <si>
    <t>Digitalizace pečovatelských služeb</t>
  </si>
  <si>
    <t>2024-2025</t>
  </si>
  <si>
    <t>Druhá tranše</t>
  </si>
  <si>
    <t>v závazných pokynech máme komplet</t>
  </si>
  <si>
    <t>Posílení sociální stability v Ústeckém kraji</t>
  </si>
  <si>
    <t>náhrada za POZATR</t>
  </si>
  <si>
    <t>Výzkum a vývoj</t>
  </si>
  <si>
    <t>Věda,výzkum,inovace + horizon</t>
  </si>
  <si>
    <t>Výše alokace v řešení</t>
  </si>
  <si>
    <t>připravujeme na MV 11/2023</t>
  </si>
  <si>
    <t xml:space="preserve">Rozvoj vodíkových údolí </t>
  </si>
  <si>
    <t>Rozvoj kulturně-kreativních odvětví</t>
  </si>
  <si>
    <t>Podpora podnikání - dotace</t>
  </si>
  <si>
    <t>???</t>
  </si>
  <si>
    <t>Program na podporu zaměstnanosti</t>
  </si>
  <si>
    <t xml:space="preserve">Konektivita ZŠ </t>
  </si>
  <si>
    <t>?</t>
  </si>
  <si>
    <t>kurz</t>
  </si>
  <si>
    <t>plán</t>
  </si>
  <si>
    <t>programový dokument</t>
  </si>
  <si>
    <t>Vysvětlivka</t>
  </si>
  <si>
    <t>Rozplánováno celkem MÍNUS Celková alokace kraje bez flexibility</t>
  </si>
  <si>
    <t>Rozplánováno 22-25 MÍNUS Alokace 22-25%</t>
  </si>
  <si>
    <t>Rozplánováno 26-27 - předpokládáno 3 MÍNUS Alokace 26-27 bez flexibility</t>
  </si>
  <si>
    <t>Aktivita</t>
  </si>
  <si>
    <t>Brownfield fond</t>
  </si>
  <si>
    <t>Strategické brownfieldy</t>
  </si>
  <si>
    <t>Síťové řešení vodíku</t>
  </si>
  <si>
    <t>Podpora komunitní činnosti</t>
  </si>
  <si>
    <t>Veřejné služby, kultura, sport a rekreace II</t>
  </si>
  <si>
    <t>Konektivita škol II</t>
  </si>
  <si>
    <t>Horizont - podpora přípravy projetů</t>
  </si>
  <si>
    <t>Strategické projekty - rezerva</t>
  </si>
  <si>
    <t>OP ST EUR</t>
  </si>
  <si>
    <t>Aktuální stav čerpání</t>
  </si>
  <si>
    <t>Plán/predikce</t>
  </si>
  <si>
    <t>Převis</t>
  </si>
  <si>
    <t>Částka MŽP</t>
  </si>
  <si>
    <t>Poznámka MŽP</t>
  </si>
  <si>
    <t>kurz 26</t>
  </si>
  <si>
    <t>kurz 24</t>
  </si>
  <si>
    <t>2026-2027</t>
  </si>
  <si>
    <t>Moravskoslezský kraj
"krajská obálka"</t>
  </si>
  <si>
    <t>Strategické projekty rezerva 10 %</t>
  </si>
  <si>
    <t>Potenciální navýšení ve výpočtech neuvažujeme.</t>
  </si>
  <si>
    <t>Zastřešující projekty
Tematické výzvy</t>
  </si>
  <si>
    <t>Vouchery pro veřejný sektor - Podpora projektové přípravy</t>
  </si>
  <si>
    <t>V aktualizovaném harmonogramu výzev (ze září 2023) pracujeme pro MSK se dvěma výzvami v oblasti Voucherů pro veřejný sektor: 1) Motivační příspěvky pro výzkumníky (100 mil. Kč) a 2) Příprava projektů (100 mil. Kč)</t>
  </si>
  <si>
    <t>Vouchery pro veřejný sektor - Global experts</t>
  </si>
  <si>
    <t>u výzvy pro výzkumníky zatím počítáme s 1 projektem kraje viz návrh za MSK a univerzity</t>
  </si>
  <si>
    <t xml:space="preserve">Stále počítáme s rezervací prostředků, nicméně lze se bavit o poníže alokace viz níže. </t>
  </si>
  <si>
    <t xml:space="preserve">Není v harmonogramu výzev, v tuto chvíli ve výpočtech neuvažujeme. </t>
  </si>
  <si>
    <t>je třeba hlídat, možné snížení při podpoře z ModFond</t>
  </si>
  <si>
    <t>potenciál pro zvýšení</t>
  </si>
  <si>
    <t>Koncepce a příprava</t>
  </si>
  <si>
    <t>Veřejné služby, sport, rekreace</t>
  </si>
  <si>
    <t>Strategické BRF- projektová přírpava a technická infrastruktura</t>
  </si>
  <si>
    <t>Vybavení  odborných učeben</t>
  </si>
  <si>
    <t>Konektivita ve školách</t>
  </si>
  <si>
    <t>Oběhové hospodářství (inovativní projekty)</t>
  </si>
  <si>
    <t>Úvěr Transformace pro MSP</t>
  </si>
  <si>
    <t>Refundace - předprojektová příprava strategických BRF a EDEN</t>
  </si>
  <si>
    <t>upraveno</t>
  </si>
  <si>
    <t>Alokace vyhlášené výzvy je 91 584 000.</t>
  </si>
  <si>
    <t>doplněno</t>
  </si>
  <si>
    <t xml:space="preserve">Výzva vyhlášena k 15.9.2023 s alokací 360 mil. Kč. </t>
  </si>
  <si>
    <t xml:space="preserve">Finanční nástroj - podpora strategických BRF </t>
  </si>
  <si>
    <t xml:space="preserve">Evidujeme jako BF FOND. </t>
  </si>
  <si>
    <t>Celkem</t>
  </si>
  <si>
    <t>Nezapočítáno: rezerva pro strategické projetky, druhé kolo zastřešujících projektů, síťové řešení vodíku</t>
  </si>
  <si>
    <t>Zbývá bez navýšení či ponížení</t>
  </si>
  <si>
    <t>Nová témata</t>
  </si>
  <si>
    <t>Nově navržené téma: Podpora komunitní činnosti</t>
  </si>
  <si>
    <t>schváleno RSK MSK</t>
  </si>
  <si>
    <t>Nově navržené téma: Filmové vouchery</t>
  </si>
  <si>
    <t>připravováno na schválení RSK MSK</t>
  </si>
  <si>
    <t>Rozděleno</t>
  </si>
  <si>
    <t>CZK</t>
  </si>
  <si>
    <t>Nerozděleno</t>
  </si>
  <si>
    <t>flexibilita (viz Finační plán OP ST - programový dokument tabulky 10 a 11)</t>
  </si>
  <si>
    <t xml:space="preserve">Indikované navýšení výzev </t>
  </si>
  <si>
    <t>zbývající alokace 26-27 (viz Finanční plán OP ST - programový dokument tabulky 10 a 11)</t>
  </si>
  <si>
    <t>Možné navýšení: Obnova území (Veřejné služby, sport, rekreace)</t>
  </si>
  <si>
    <t>zbývající alokace 22-25</t>
  </si>
  <si>
    <t>Indikované ponížení výzev</t>
  </si>
  <si>
    <t>Případný prostor k ponížení: Vodíkové řešení (vazba na MdF)</t>
  </si>
  <si>
    <t>Je zde prostor pro ponížení ve vazbě na podporu z MdF, nutné projednat na RSK MSK</t>
  </si>
  <si>
    <t>Případný prostor k ponížení: Oběhové hospodářství</t>
  </si>
  <si>
    <t>dle vyhodnocení výzvy - již nyní víme o úspoře, podpora pouze 40 % dle GBER</t>
  </si>
  <si>
    <t>Zdroje navíc chceme využít na strategické projekty</t>
  </si>
  <si>
    <t>Program Kč</t>
  </si>
  <si>
    <t>Program EUR</t>
  </si>
  <si>
    <t>-</t>
  </si>
  <si>
    <t>Poznámka kraj</t>
  </si>
  <si>
    <t>Poznámka OPST</t>
  </si>
  <si>
    <t>kurz CZK/EUR</t>
  </si>
  <si>
    <t>Vyhlášeno / plán</t>
  </si>
  <si>
    <t>Návrh - priorita 1</t>
  </si>
  <si>
    <t>Návrh - priorita 2</t>
  </si>
  <si>
    <t>Návrh - priorita 3</t>
  </si>
  <si>
    <t>Spolupráce škola velkých podniků</t>
  </si>
  <si>
    <t>- z toho alokace 26-27 bez flexibility</t>
  </si>
  <si>
    <t>- z toho flexibilita 26-27</t>
  </si>
  <si>
    <t>Výzvy celkem</t>
  </si>
  <si>
    <t>Rozdíl (program-výzvy celkem)</t>
  </si>
  <si>
    <t>OPST</t>
  </si>
  <si>
    <t>Závazek EU rozpočtu</t>
  </si>
  <si>
    <t>z toho VFR</t>
  </si>
  <si>
    <t>z toho NGEU</t>
  </si>
  <si>
    <t>Pravidlo n+3 (2)</t>
  </si>
  <si>
    <t>x</t>
  </si>
  <si>
    <t>Kumulativní čerpání</t>
  </si>
  <si>
    <t>Karlovarský kraj</t>
  </si>
  <si>
    <t>Ústecký kraj</t>
  </si>
  <si>
    <t>Moravskoslezský kraj</t>
  </si>
  <si>
    <t>Technická pomoc</t>
  </si>
  <si>
    <t>Tabulka 10 - Finanční prostředky podle roku</t>
  </si>
  <si>
    <t>Kategorie regionu</t>
  </si>
  <si>
    <t>2022</t>
  </si>
  <si>
    <t>2023</t>
  </si>
  <si>
    <t>2024</t>
  </si>
  <si>
    <t>2025</t>
  </si>
  <si>
    <t>2026 (bez flexibility)</t>
  </si>
  <si>
    <t>2026 (flexibilita)</t>
  </si>
  <si>
    <t>2027 (bez flexibility)</t>
  </si>
  <si>
    <t>2027 (flexibilita)</t>
  </si>
  <si>
    <t>FST - čl. 3 (VFR)</t>
  </si>
  <si>
    <t>FST - čl. 4 (NGEU)</t>
  </si>
  <si>
    <t>Pomocná tabulka 1</t>
  </si>
  <si>
    <t>FST (bez TP)</t>
  </si>
  <si>
    <t>FST (TP)</t>
  </si>
  <si>
    <t>Pomocná tabulka 2</t>
  </si>
  <si>
    <t>Priorita</t>
  </si>
  <si>
    <t>2021</t>
  </si>
  <si>
    <t>1: Karlovarský kraj</t>
  </si>
  <si>
    <t>2: Ústecký kraj</t>
  </si>
  <si>
    <t>3: Moravskoslezský kraj</t>
  </si>
  <si>
    <t>4: TP</t>
  </si>
  <si>
    <t>Tabulka 11 - Celkové finanční příděly podle fondu a vnitrostátního spolufinancování</t>
  </si>
  <si>
    <t>Pomocná tabulka na národní příspěvek</t>
  </si>
  <si>
    <t>cíl politiky/technická pomoc</t>
  </si>
  <si>
    <t>priorita</t>
  </si>
  <si>
    <t>základ pro výpočet podpory EU</t>
  </si>
  <si>
    <t>fond</t>
  </si>
  <si>
    <t>kategorie regionu</t>
  </si>
  <si>
    <t>příspěvek EU (a) = (g)+(h)</t>
  </si>
  <si>
    <t>Složení příspěvku
Unie: příspěvek EU bez částky pro účely flexibility
(g)</t>
  </si>
  <si>
    <t>Složení příspěvku
Unie: částka pro účely flexibility (h)</t>
  </si>
  <si>
    <t>národní příspěvek
(b)=(c)+(d)</t>
  </si>
  <si>
    <t xml:space="preserve">indikativní rozložení národního příspěvku - veřejné (c) </t>
  </si>
  <si>
    <t>indikativní rozložení národního příspěvku - soukromé (d)</t>
  </si>
  <si>
    <t>Celkem [e]=[a]+[b]</t>
  </si>
  <si>
    <t>National contribution (b)=(c)+(d)
stanovený tak, abychom byli na max spolufinancování</t>
  </si>
  <si>
    <t xml:space="preserve">Indicative breakdown of national contribution - veřejné (c) </t>
  </si>
  <si>
    <t>Indicative breakdown of national contribution - soukromé (d)</t>
  </si>
  <si>
    <t>Podíl veřejného příspěveku</t>
  </si>
  <si>
    <t>CZV</t>
  </si>
  <si>
    <t>TP</t>
  </si>
  <si>
    <t>Složení příspěvku Unie: příspěvek EU bez částky pro účely flexibility</t>
  </si>
  <si>
    <t>Složení příspěvku Unie: částka pro účely flexibility</t>
  </si>
  <si>
    <t>národní příspěvek (b)=(c)+(d)</t>
  </si>
  <si>
    <t>CELKEM</t>
  </si>
  <si>
    <t>příprava projektů 200 mil.Kč,  kreativní vouchery 30 mil. Kč</t>
  </si>
  <si>
    <t>včetně 2. tranše?</t>
  </si>
  <si>
    <t>ověřit pilotní projekty</t>
  </si>
  <si>
    <t xml:space="preserve">Ústecký kraj </t>
  </si>
  <si>
    <t>Sloupec1</t>
  </si>
  <si>
    <t>zájmové vzdělávání?</t>
  </si>
  <si>
    <t>podpora NNO, zájmové vzdělávání, spolupráce škol a velkých podniků?</t>
  </si>
  <si>
    <t>spolupráce škol a velkých podniků</t>
  </si>
  <si>
    <t>Zájmové vzdělávání</t>
  </si>
  <si>
    <t>změna PD</t>
  </si>
  <si>
    <t>z MŽP přišel návrh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</si>
</sst>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.0"/>
    <numFmt numFmtId="166" formatCode="#,##0.0000"/>
    <numFmt numFmtId="167" formatCode="0.0%"/>
    <numFmt numFmtId="168" formatCode="#,##0.000"/>
    <numFmt numFmtId="169" formatCode="#,##0.000000"/>
  </numFmts>
  <fonts count="8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1"/>
      <color indexed="2"/>
      <name val="Calibri"/>
      <scheme val="minor"/>
    </font>
    <font>
      <sz val="10"/>
      <name val="Calibri"/>
      <scheme val="minor"/>
    </font>
    <font>
      <sz val="10"/>
      <color indexed="2"/>
      <name val="Calibri"/>
      <scheme val="minor"/>
    </font>
    <font>
      <b/>
      <u/>
      <sz val="11"/>
      <name val="Calibri"/>
      <scheme val="minor"/>
    </font>
    <font>
      <sz val="10"/>
      <color theme="1"/>
      <name val="Calibri"/>
      <scheme val="minor"/>
    </font>
    <font>
      <b/>
      <sz val="16"/>
      <name val="Calibri"/>
      <scheme val="minor"/>
    </font>
    <font>
      <b/>
      <sz val="16"/>
      <name val="Calibri"/>
    </font>
    <font>
      <b/>
      <sz val="12"/>
      <name val="Calibri"/>
      <scheme val="minor"/>
    </font>
    <font>
      <b/>
      <sz val="12"/>
      <name val="Calibri"/>
    </font>
    <font>
      <b/>
      <sz val="10"/>
      <name val="Calibri"/>
      <scheme val="minor"/>
    </font>
    <font>
      <b/>
      <sz val="10"/>
      <name val="Calibri"/>
    </font>
    <font>
      <i/>
      <sz val="10"/>
      <name val="Calibri"/>
      <scheme val="minor"/>
    </font>
    <font>
      <i/>
      <sz val="10"/>
      <name val="Calibri"/>
    </font>
    <font>
      <i/>
      <sz val="11"/>
      <color theme="1"/>
      <name val="Calibri"/>
      <scheme val="minor"/>
    </font>
    <font>
      <b/>
      <sz val="10"/>
      <color theme="1"/>
      <name val="Calibri"/>
      <scheme val="minor"/>
    </font>
    <font>
      <b/>
      <sz val="11"/>
      <color theme="1"/>
      <name val="Times New Roman"/>
    </font>
    <font>
      <b/>
      <sz val="11"/>
      <color indexed="2"/>
      <name val="Calibri"/>
      <scheme val="minor"/>
    </font>
    <font>
      <b/>
      <u/>
      <sz val="14"/>
      <color theme="1"/>
      <name val="Calibri"/>
      <scheme val="minor"/>
    </font>
    <font>
      <b/>
      <sz val="10"/>
      <color theme="1"/>
      <name val="Verdana"/>
    </font>
    <font>
      <b/>
      <sz val="10"/>
      <color theme="1"/>
      <name val="Times New Roman"/>
    </font>
    <font>
      <sz val="10"/>
      <color theme="1"/>
      <name val="Verdana"/>
    </font>
    <font>
      <sz val="10"/>
      <name val="Verdana"/>
    </font>
    <font>
      <sz val="10"/>
      <color theme="1"/>
      <name val="Times New Roman"/>
    </font>
    <font>
      <sz val="10"/>
      <color theme="9"/>
      <name val="Verdana"/>
    </font>
    <font>
      <b/>
      <sz val="10"/>
      <name val="Verdana"/>
    </font>
    <font>
      <b/>
      <sz val="28"/>
      <color indexed="2"/>
      <name val="Calibri"/>
      <scheme val="minor"/>
    </font>
    <font>
      <b/>
      <sz val="10"/>
      <name val="Times New Roman"/>
    </font>
    <font>
      <b/>
      <sz val="10"/>
      <color indexed="2"/>
      <name val="Verdana"/>
    </font>
    <font>
      <b/>
      <sz val="10"/>
      <color theme="9"/>
      <name val="Times New Roman"/>
    </font>
    <font>
      <b/>
      <sz val="10"/>
      <color indexed="2"/>
      <name val="Calibri"/>
      <scheme val="minor"/>
    </font>
    <font>
      <sz val="10"/>
      <color rgb="FF00B050"/>
      <name val="Verdana"/>
    </font>
    <font>
      <b/>
      <sz val="10"/>
      <color rgb="FF00B050"/>
      <name val="Times New Roman"/>
    </font>
    <font>
      <b/>
      <sz val="10"/>
      <color rgb="FF00B050"/>
      <name val="Verdana"/>
    </font>
    <font>
      <sz val="11"/>
      <color rgb="FF00B050"/>
      <name val="Calibri"/>
      <scheme val="minor"/>
    </font>
    <font>
      <b/>
      <sz val="14"/>
      <color indexed="2"/>
      <name val="Calibri"/>
      <scheme val="minor"/>
    </font>
    <font>
      <b/>
      <sz val="11"/>
      <color theme="9"/>
      <name val="Calibri"/>
      <scheme val="minor"/>
    </font>
    <font>
      <b/>
      <sz val="18"/>
      <color indexed="2"/>
      <name val="Calibri"/>
      <scheme val="minor"/>
    </font>
    <font>
      <b/>
      <sz val="11"/>
      <name val="Calibri"/>
      <scheme val="minor"/>
    </font>
    <font>
      <i/>
      <sz val="11"/>
      <name val="Calibri"/>
      <scheme val="minor"/>
    </font>
    <font>
      <b/>
      <sz val="12"/>
      <color theme="1"/>
      <name val="Calibri"/>
      <scheme val="minor"/>
    </font>
    <font>
      <sz val="9"/>
      <name val="Calibri"/>
      <scheme val="minor"/>
    </font>
    <font>
      <sz val="8"/>
      <name val="Calibri"/>
      <scheme val="minor"/>
    </font>
    <font>
      <b/>
      <i/>
      <sz val="14"/>
      <color rgb="FF002060"/>
      <name val="Calibri"/>
      <scheme val="minor"/>
    </font>
    <font>
      <b/>
      <sz val="14"/>
      <color rgb="FF002060"/>
      <name val="Calibri"/>
      <scheme val="minor"/>
    </font>
    <font>
      <b/>
      <sz val="14"/>
      <color theme="0"/>
      <name val="Calibri"/>
      <scheme val="minor"/>
    </font>
    <font>
      <b/>
      <i/>
      <sz val="14"/>
      <name val="Calibri"/>
      <scheme val="minor"/>
    </font>
    <font>
      <b/>
      <sz val="14"/>
      <name val="Calibri"/>
      <scheme val="minor"/>
    </font>
    <font>
      <b/>
      <sz val="12"/>
      <color indexed="2"/>
      <name val="Calibri"/>
      <scheme val="minor"/>
    </font>
    <font>
      <b/>
      <sz val="14"/>
      <color theme="1"/>
      <name val="Calibri"/>
      <scheme val="minor"/>
    </font>
    <font>
      <b/>
      <i/>
      <sz val="11"/>
      <color indexed="2"/>
      <name val="Calibri"/>
      <scheme val="minor"/>
    </font>
    <font>
      <b/>
      <i/>
      <sz val="11"/>
      <name val="Calibri"/>
      <scheme val="minor"/>
    </font>
    <font>
      <i/>
      <sz val="11"/>
      <color theme="6" tint="-0.499984740745262"/>
      <name val="Calibri"/>
      <scheme val="minor"/>
    </font>
    <font>
      <i/>
      <sz val="11"/>
      <color rgb="FF00B050"/>
      <name val="Calibri"/>
      <scheme val="minor"/>
    </font>
    <font>
      <i/>
      <sz val="11"/>
      <color indexed="2"/>
      <name val="Calibri"/>
      <scheme val="minor"/>
    </font>
    <font>
      <sz val="14"/>
      <name val="Calibri"/>
      <scheme val="minor"/>
    </font>
    <font>
      <b/>
      <sz val="18"/>
      <color theme="1"/>
      <name val="Calibri"/>
      <scheme val="minor"/>
    </font>
    <font>
      <b/>
      <i/>
      <sz val="11"/>
      <color theme="1"/>
      <name val="Calibri"/>
      <scheme val="minor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28"/>
      <color rgb="FF24B2A3"/>
      <name val="Calibri"/>
      <family val="2"/>
      <charset val="238"/>
      <scheme val="minor"/>
    </font>
    <font>
      <b/>
      <sz val="28"/>
      <color rgb="FFD19D26"/>
      <name val="Calibri"/>
      <family val="2"/>
      <charset val="238"/>
      <scheme val="minor"/>
    </font>
    <font>
      <b/>
      <sz val="28"/>
      <color rgb="FFE73938"/>
      <name val="Calibri"/>
      <family val="2"/>
      <charset val="238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7" tint="0.59999389629810485"/>
        <bgColor theme="7" tint="0.59999389629810485"/>
      </patternFill>
    </fill>
    <fill>
      <patternFill patternType="none"/>
    </fill>
    <fill>
      <patternFill patternType="solid">
        <fgColor theme="5" tint="0.59999389629810485"/>
        <bgColor theme="5" tint="0.59999389629810485"/>
      </patternFill>
    </fill>
    <fill>
      <patternFill patternType="solid">
        <fgColor rgb="FFD19D26"/>
        <bgColor rgb="FFD19D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indexed="2"/>
        <bgColor indexed="2"/>
      </patternFill>
    </fill>
    <fill>
      <patternFill patternType="solid">
        <fgColor theme="8" tint="0.79998168889431442"/>
        <bgColor theme="2"/>
      </patternFill>
    </fill>
    <fill>
      <patternFill patternType="solid">
        <fgColor theme="0"/>
        <bgColor theme="2"/>
      </patternFill>
    </fill>
    <fill>
      <patternFill patternType="solid">
        <fgColor theme="0"/>
        <bgColor theme="8" tint="0.59999389629810485"/>
      </patternFill>
    </fill>
    <fill>
      <patternFill patternType="solid">
        <fgColor rgb="FF00B050"/>
        <bgColor rgb="FF00B050"/>
      </patternFill>
    </fill>
    <fill>
      <patternFill patternType="solid">
        <fgColor rgb="FF002060"/>
        <bgColor rgb="FF002060"/>
      </patternFill>
    </fill>
    <fill>
      <patternFill patternType="solid">
        <fgColor theme="2"/>
        <bgColor theme="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indexed="5"/>
        <bgColor theme="8" tint="0.59999389629810485"/>
      </patternFill>
    </fill>
    <fill>
      <patternFill patternType="solid">
        <fgColor indexed="5"/>
        <bgColor theme="0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7" tint="0.79998168889431442"/>
        <bgColor theme="0"/>
      </patternFill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theme="2" tint="-9.9978637043366805E-2"/>
        <bgColor theme="0"/>
      </patternFill>
    </fill>
    <fill>
      <patternFill patternType="solid">
        <fgColor rgb="FF3E1F65"/>
        <bgColor indexed="64"/>
      </patternFill>
    </fill>
    <fill>
      <patternFill patternType="solid">
        <fgColor rgb="FF3E1F65"/>
        <bgColor rgb="FFBE864B"/>
      </patternFill>
    </fill>
    <fill>
      <patternFill patternType="solid">
        <fgColor rgb="FFD19D26"/>
        <bgColor rgb="FFBE864B"/>
      </patternFill>
    </fill>
    <fill>
      <patternFill patternType="solid">
        <fgColor rgb="FF24B2A3"/>
        <bgColor rgb="FF0A5943"/>
      </patternFill>
    </fill>
    <fill>
      <patternFill patternType="solid">
        <fgColor rgb="FFE73938"/>
        <bgColor rgb="FF703E4A"/>
      </patternFill>
    </fill>
    <fill>
      <patternFill patternType="solid">
        <fgColor rgb="FF3A3838"/>
        <bgColor rgb="FF703E4A"/>
      </patternFill>
    </fill>
    <fill>
      <patternFill patternType="solid">
        <fgColor rgb="FF3E1F65"/>
        <bgColor rgb="FF03738C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2"/>
        <bgColor theme="0" tint="-0.14999847407452621"/>
      </patternFill>
    </fill>
    <fill>
      <patternFill patternType="solid">
        <fgColor rgb="FF3E1F65"/>
        <bgColor theme="0" tint="-0.14999847407452621"/>
      </patternFill>
    </fill>
    <fill>
      <patternFill patternType="solid">
        <fgColor theme="2"/>
        <bgColor theme="0" tint="-0.499984740745262"/>
      </patternFill>
    </fill>
    <fill>
      <patternFill patternType="solid">
        <fgColor rgb="FFE73938"/>
        <bgColor rgb="FFFFCCCC"/>
      </patternFill>
    </fill>
    <fill>
      <patternFill patternType="solid">
        <fgColor rgb="FFD19D26"/>
        <bgColor theme="7" tint="0.79998168889431442"/>
      </patternFill>
    </fill>
    <fill>
      <patternFill patternType="solid">
        <fgColor rgb="FF24B2A3"/>
        <bgColor theme="4" tint="0.59999389629810485"/>
      </patternFill>
    </fill>
    <fill>
      <patternFill patternType="solid">
        <fgColor theme="9" tint="0.59999389629810485"/>
        <bgColor theme="7" tint="0.59999389629810485"/>
      </patternFill>
    </fill>
    <fill>
      <patternFill patternType="solid">
        <fgColor theme="7" tint="0.79998168889431442"/>
        <bgColor theme="7" tint="0.59999389629810485"/>
      </patternFill>
    </fill>
  </fills>
  <borders count="1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2060"/>
      </right>
      <top style="medium">
        <color theme="1"/>
      </top>
      <bottom style="thin">
        <color theme="1"/>
      </bottom>
      <diagonal/>
    </border>
    <border>
      <left style="thin">
        <color rgb="FF002060"/>
      </left>
      <right style="thin">
        <color rgb="FF002060"/>
      </right>
      <top style="medium">
        <color theme="1"/>
      </top>
      <bottom style="thin">
        <color theme="1"/>
      </bottom>
      <diagonal/>
    </border>
    <border>
      <left style="thin">
        <color rgb="FF002060"/>
      </left>
      <right style="thin">
        <color rgb="FF002060"/>
      </right>
      <top style="medium">
        <color theme="1"/>
      </top>
      <bottom/>
      <diagonal/>
    </border>
    <border>
      <left style="thin">
        <color rgb="FF002060"/>
      </left>
      <right style="medium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rgb="FF002060"/>
      </right>
      <top style="thin">
        <color theme="1"/>
      </top>
      <bottom style="thin">
        <color rgb="FF002060"/>
      </bottom>
      <diagonal/>
    </border>
    <border>
      <left style="thin">
        <color rgb="FF002060"/>
      </left>
      <right style="thin">
        <color theme="1"/>
      </right>
      <top style="thin">
        <color theme="1"/>
      </top>
      <bottom style="thin">
        <color rgb="FF002060"/>
      </bottom>
      <diagonal/>
    </border>
    <border>
      <left/>
      <right style="thin">
        <color rgb="FF002060"/>
      </right>
      <top style="thin">
        <color theme="1"/>
      </top>
      <bottom style="thin">
        <color rgb="FF002060"/>
      </bottom>
      <diagonal/>
    </border>
    <border>
      <left style="thin">
        <color rgb="FF002060"/>
      </left>
      <right style="medium">
        <color theme="1"/>
      </right>
      <top style="thin">
        <color theme="1"/>
      </top>
      <bottom style="thin">
        <color rgb="FF00206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thin">
        <color rgb="FF002060"/>
      </top>
      <bottom style="thin">
        <color rgb="FF002060"/>
      </bottom>
      <diagonal/>
    </border>
    <border>
      <left style="thin">
        <color theme="1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theme="1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theme="1"/>
      </right>
      <top style="thin">
        <color rgb="FF002060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rgb="FF00206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theme="1"/>
      </left>
      <right style="medium">
        <color theme="1"/>
      </right>
      <top style="thin">
        <color rgb="FF00206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002060"/>
      </left>
      <right style="thin">
        <color theme="1"/>
      </right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theme="1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theme="1"/>
      </top>
      <bottom style="thin">
        <color rgb="FF002060"/>
      </bottom>
      <diagonal/>
    </border>
    <border>
      <left style="thin">
        <color theme="1"/>
      </left>
      <right style="medium">
        <color theme="1"/>
      </right>
      <top style="thin">
        <color rgb="FF002060"/>
      </top>
      <bottom style="thin">
        <color rgb="FF002060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rgb="FF002060"/>
      </bottom>
      <diagonal/>
    </border>
    <border>
      <left style="thin">
        <color theme="1"/>
      </left>
      <right style="thin">
        <color theme="1"/>
      </right>
      <top style="thin">
        <color rgb="FF002060"/>
      </top>
      <bottom style="thin">
        <color rgb="FF002060"/>
      </bottom>
      <diagonal/>
    </border>
    <border>
      <left style="thin">
        <color theme="1"/>
      </left>
      <right/>
      <top style="thin">
        <color rgb="FF00206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rgb="FF002060"/>
      </top>
      <bottom style="thin">
        <color theme="1"/>
      </bottom>
      <diagonal/>
    </border>
    <border>
      <left style="medium">
        <color theme="1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theme="1"/>
      </left>
      <right style="thin">
        <color theme="1"/>
      </right>
      <top/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rgb="FF00206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rgb="FF002060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theme="1"/>
      </right>
      <top/>
      <bottom style="thin">
        <color rgb="FF002060"/>
      </bottom>
      <diagonal/>
    </border>
    <border>
      <left style="thin">
        <color rgb="FF002060"/>
      </left>
      <right style="medium">
        <color theme="1"/>
      </right>
      <top style="thin">
        <color rgb="FF002060"/>
      </top>
      <bottom style="thin">
        <color rgb="FF00206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theme="1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theme="1"/>
      </left>
      <right style="thin">
        <color rgb="FF002060"/>
      </right>
      <top style="medium">
        <color theme="1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theme="1"/>
      </top>
      <bottom style="medium">
        <color rgb="FF002060"/>
      </bottom>
      <diagonal/>
    </border>
    <border>
      <left style="thin">
        <color rgb="FF002060"/>
      </left>
      <right style="medium">
        <color theme="1"/>
      </right>
      <top style="medium">
        <color theme="1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thick">
        <color rgb="FF002060"/>
      </top>
      <bottom style="thick">
        <color rgb="FF002060"/>
      </bottom>
      <diagonal/>
    </border>
    <border>
      <left style="medium">
        <color theme="1"/>
      </left>
      <right style="thin">
        <color rgb="FF002060"/>
      </right>
      <top/>
      <bottom style="medium">
        <color theme="1"/>
      </bottom>
      <diagonal/>
    </border>
    <border>
      <left style="thin">
        <color rgb="FF002060"/>
      </left>
      <right style="thin">
        <color rgb="FF002060"/>
      </right>
      <top/>
      <bottom style="medium">
        <color theme="1"/>
      </bottom>
      <diagonal/>
    </border>
    <border>
      <left style="thin">
        <color rgb="FF002060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rgb="FF002060"/>
      </right>
      <top/>
      <bottom style="thin">
        <color rgb="FF002060"/>
      </bottom>
      <diagonal/>
    </border>
    <border>
      <left style="medium">
        <color theme="1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theme="1"/>
      </right>
      <top style="medium">
        <color rgb="FF002060"/>
      </top>
      <bottom style="medium">
        <color rgb="FF002060"/>
      </bottom>
      <diagonal/>
    </border>
    <border>
      <left/>
      <right style="medium">
        <color theme="1"/>
      </right>
      <top style="thin">
        <color rgb="FF002060"/>
      </top>
      <bottom style="thin">
        <color rgb="FF002060"/>
      </bottom>
      <diagonal/>
    </border>
    <border>
      <left style="medium">
        <color theme="1"/>
      </left>
      <right style="thin">
        <color rgb="FF002060"/>
      </right>
      <top style="medium">
        <color rgb="FF002060"/>
      </top>
      <bottom style="medium">
        <color theme="1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44" fontId="62" fillId="0" borderId="0" applyFont="0" applyFill="0" applyBorder="0" applyProtection="0"/>
    <xf numFmtId="9" fontId="62" fillId="0" borderId="0" applyFont="0" applyFill="0" applyBorder="0" applyProtection="0"/>
    <xf numFmtId="0" fontId="1" fillId="5" borderId="0"/>
    <xf numFmtId="9" fontId="1" fillId="5" borderId="0" applyFont="0" applyFill="0" applyBorder="0" applyProtection="0"/>
    <xf numFmtId="9" fontId="1" fillId="5" borderId="0" applyFont="0" applyFill="0" applyBorder="0"/>
  </cellStyleXfs>
  <cellXfs count="67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Protection="1">
      <protection locked="0"/>
    </xf>
    <xf numFmtId="10" fontId="3" fillId="3" borderId="1" xfId="2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3" fontId="3" fillId="3" borderId="1" xfId="0" applyNumberFormat="1" applyFont="1" applyFill="1" applyBorder="1"/>
    <xf numFmtId="3" fontId="0" fillId="3" borderId="1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/>
    <xf numFmtId="0" fontId="3" fillId="3" borderId="1" xfId="0" applyFont="1" applyFill="1" applyBorder="1" applyAlignment="1" applyProtection="1">
      <alignment horizontal="justify" wrapText="1"/>
      <protection locked="0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right"/>
    </xf>
    <xf numFmtId="3" fontId="3" fillId="4" borderId="1" xfId="0" applyNumberFormat="1" applyFont="1" applyFill="1" applyBorder="1"/>
    <xf numFmtId="0" fontId="3" fillId="4" borderId="1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 applyProtection="1">
      <alignment wrapText="1"/>
      <protection locked="0"/>
    </xf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0" fillId="0" borderId="0" xfId="0" applyNumberForma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right" wrapText="1"/>
    </xf>
    <xf numFmtId="10" fontId="3" fillId="0" borderId="0" xfId="2" applyNumberFormat="1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3" fillId="0" borderId="6" xfId="0" applyFont="1" applyBorder="1" applyAlignment="1">
      <alignment vertical="center"/>
    </xf>
    <xf numFmtId="10" fontId="5" fillId="0" borderId="1" xfId="2" applyNumberFormat="1" applyFont="1" applyBorder="1" applyAlignment="1">
      <alignment horizontal="center" vertical="center"/>
    </xf>
    <xf numFmtId="10" fontId="5" fillId="0" borderId="1" xfId="2" applyNumberFormat="1" applyFont="1" applyBorder="1" applyAlignment="1">
      <alignment horizontal="center" vertical="center" wrapText="1"/>
    </xf>
    <xf numFmtId="10" fontId="5" fillId="0" borderId="7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0" fontId="9" fillId="0" borderId="1" xfId="2" applyNumberFormat="1" applyFont="1" applyBorder="1" applyAlignment="1">
      <alignment horizontal="center" vertical="center"/>
    </xf>
    <xf numFmtId="3" fontId="9" fillId="0" borderId="1" xfId="2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wrapText="1"/>
    </xf>
    <xf numFmtId="3" fontId="9" fillId="0" borderId="7" xfId="2" applyNumberFormat="1" applyFont="1" applyBorder="1" applyAlignment="1">
      <alignment horizontal="right" vertical="center"/>
    </xf>
    <xf numFmtId="3" fontId="4" fillId="0" borderId="0" xfId="0" applyNumberFormat="1" applyFont="1"/>
    <xf numFmtId="0" fontId="0" fillId="0" borderId="0" xfId="0" applyAlignment="1">
      <alignment horizontal="center"/>
    </xf>
    <xf numFmtId="10" fontId="11" fillId="0" borderId="1" xfId="2" applyNumberFormat="1" applyFont="1" applyBorder="1" applyAlignment="1">
      <alignment horizontal="center" vertical="center"/>
    </xf>
    <xf numFmtId="3" fontId="11" fillId="0" borderId="1" xfId="2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wrapText="1"/>
    </xf>
    <xf numFmtId="3" fontId="11" fillId="0" borderId="7" xfId="2" applyNumberFormat="1" applyFont="1" applyBorder="1" applyAlignment="1">
      <alignment horizontal="right" vertical="center"/>
    </xf>
    <xf numFmtId="10" fontId="13" fillId="0" borderId="1" xfId="2" applyNumberFormat="1" applyFont="1" applyBorder="1" applyAlignment="1">
      <alignment horizontal="center" vertical="center"/>
    </xf>
    <xf numFmtId="3" fontId="13" fillId="0" borderId="1" xfId="2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/>
    </xf>
    <xf numFmtId="3" fontId="13" fillId="0" borderId="7" xfId="2" applyNumberFormat="1" applyFont="1" applyBorder="1" applyAlignment="1">
      <alignment horizontal="right" vertical="center"/>
    </xf>
    <xf numFmtId="10" fontId="15" fillId="0" borderId="1" xfId="2" applyNumberFormat="1" applyFont="1" applyBorder="1" applyAlignment="1">
      <alignment horizontal="center" vertical="center"/>
    </xf>
    <xf numFmtId="3" fontId="15" fillId="0" borderId="1" xfId="2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5" fillId="0" borderId="7" xfId="2" applyNumberFormat="1" applyFont="1" applyBorder="1" applyAlignment="1">
      <alignment horizontal="right" vertical="center"/>
    </xf>
    <xf numFmtId="3" fontId="17" fillId="0" borderId="1" xfId="0" applyNumberFormat="1" applyFont="1" applyBorder="1" applyAlignment="1">
      <alignment horizontal="right"/>
    </xf>
    <xf numFmtId="0" fontId="0" fillId="0" borderId="0" xfId="0"/>
    <xf numFmtId="3" fontId="2" fillId="0" borderId="1" xfId="0" applyNumberFormat="1" applyFont="1" applyBorder="1" applyAlignment="1">
      <alignment horizontal="right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wrapText="1"/>
    </xf>
    <xf numFmtId="3" fontId="17" fillId="0" borderId="8" xfId="0" applyNumberFormat="1" applyFont="1" applyBorder="1" applyAlignment="1">
      <alignment horizontal="right"/>
    </xf>
    <xf numFmtId="3" fontId="15" fillId="0" borderId="0" xfId="2" applyNumberFormat="1" applyFont="1" applyAlignment="1">
      <alignment horizontal="right" vertical="center"/>
    </xf>
    <xf numFmtId="3" fontId="17" fillId="0" borderId="0" xfId="0" applyNumberFormat="1" applyFont="1" applyAlignment="1">
      <alignment horizontal="right"/>
    </xf>
    <xf numFmtId="0" fontId="3" fillId="0" borderId="5" xfId="0" applyFont="1" applyBorder="1" applyAlignment="1">
      <alignment wrapText="1"/>
    </xf>
    <xf numFmtId="3" fontId="17" fillId="0" borderId="5" xfId="0" applyNumberFormat="1" applyFont="1" applyBorder="1" applyAlignment="1">
      <alignment horizontal="right"/>
    </xf>
    <xf numFmtId="3" fontId="15" fillId="0" borderId="5" xfId="2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0" fillId="0" borderId="1" xfId="0" applyBorder="1"/>
    <xf numFmtId="0" fontId="11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wrapText="1"/>
    </xf>
    <xf numFmtId="3" fontId="0" fillId="0" borderId="1" xfId="0" applyNumberFormat="1" applyBorder="1"/>
    <xf numFmtId="3" fontId="3" fillId="5" borderId="1" xfId="0" applyNumberFormat="1" applyFont="1" applyFill="1" applyBorder="1" applyAlignment="1">
      <alignment horizontal="right"/>
    </xf>
    <xf numFmtId="3" fontId="13" fillId="0" borderId="1" xfId="0" applyNumberFormat="1" applyFont="1" applyBorder="1" applyAlignment="1">
      <alignment wrapText="1"/>
    </xf>
    <xf numFmtId="10" fontId="15" fillId="3" borderId="1" xfId="2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wrapText="1"/>
    </xf>
    <xf numFmtId="10" fontId="15" fillId="4" borderId="1" xfId="2" applyNumberFormat="1" applyFont="1" applyFill="1" applyBorder="1" applyAlignment="1">
      <alignment horizontal="center" vertical="center"/>
    </xf>
    <xf numFmtId="10" fontId="15" fillId="2" borderId="1" xfId="2" applyNumberFormat="1" applyFont="1" applyFill="1" applyBorder="1" applyAlignment="1">
      <alignment horizontal="center" vertical="center"/>
    </xf>
    <xf numFmtId="10" fontId="13" fillId="6" borderId="1" xfId="2" applyNumberFormat="1" applyFont="1" applyFill="1" applyBorder="1" applyAlignment="1">
      <alignment horizontal="center" vertical="center"/>
    </xf>
    <xf numFmtId="3" fontId="18" fillId="0" borderId="1" xfId="0" applyNumberFormat="1" applyFont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3" fontId="17" fillId="0" borderId="0" xfId="0" applyNumberFormat="1" applyFont="1" applyAlignment="1">
      <alignment horizontal="right"/>
    </xf>
    <xf numFmtId="3" fontId="15" fillId="0" borderId="0" xfId="2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0" xfId="0"/>
    <xf numFmtId="0" fontId="11" fillId="0" borderId="0" xfId="0" applyFont="1" applyAlignment="1">
      <alignment horizontal="right"/>
    </xf>
    <xf numFmtId="10" fontId="11" fillId="0" borderId="0" xfId="2" applyNumberFormat="1" applyFont="1" applyAlignment="1">
      <alignment horizontal="center" vertical="center"/>
    </xf>
    <xf numFmtId="3" fontId="11" fillId="0" borderId="0" xfId="0" applyNumberFormat="1" applyFont="1" applyAlignment="1">
      <alignment wrapText="1"/>
    </xf>
    <xf numFmtId="3" fontId="3" fillId="0" borderId="0" xfId="0" applyNumberFormat="1" applyFont="1" applyAlignment="1">
      <alignment horizontal="right"/>
    </xf>
    <xf numFmtId="10" fontId="13" fillId="0" borderId="0" xfId="2" applyNumberFormat="1" applyFont="1" applyAlignment="1">
      <alignment horizontal="center" vertical="center"/>
    </xf>
    <xf numFmtId="3" fontId="13" fillId="0" borderId="0" xfId="0" applyNumberFormat="1" applyFont="1" applyAlignment="1">
      <alignment wrapText="1"/>
    </xf>
    <xf numFmtId="10" fontId="15" fillId="0" borderId="0" xfId="2" applyNumberFormat="1" applyFont="1" applyAlignment="1">
      <alignment horizontal="center" vertical="center"/>
    </xf>
    <xf numFmtId="3" fontId="8" fillId="0" borderId="0" xfId="0" applyNumberFormat="1" applyFont="1"/>
    <xf numFmtId="3" fontId="18" fillId="0" borderId="0" xfId="0" applyNumberFormat="1" applyFont="1"/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/>
    <xf numFmtId="0" fontId="22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4" fillId="8" borderId="15" xfId="0" applyFont="1" applyFill="1" applyBorder="1" applyAlignment="1">
      <alignment horizontal="left" vertical="center" wrapText="1"/>
    </xf>
    <xf numFmtId="0" fontId="19" fillId="8" borderId="0" xfId="0" applyFont="1" applyFill="1" applyAlignment="1">
      <alignment horizontal="center" vertical="center"/>
    </xf>
    <xf numFmtId="0" fontId="22" fillId="8" borderId="16" xfId="0" applyFont="1" applyFill="1" applyBorder="1" applyAlignment="1">
      <alignment horizontal="left" vertical="center" wrapText="1"/>
    </xf>
    <xf numFmtId="0" fontId="24" fillId="8" borderId="16" xfId="0" applyFont="1" applyFill="1" applyBorder="1" applyAlignment="1">
      <alignment horizontal="center" vertical="center" wrapText="1"/>
    </xf>
    <xf numFmtId="0" fontId="24" fillId="8" borderId="16" xfId="0" applyFont="1" applyFill="1" applyBorder="1" applyAlignment="1">
      <alignment horizontal="left" vertical="center" wrapText="1"/>
    </xf>
    <xf numFmtId="14" fontId="24" fillId="8" borderId="16" xfId="0" applyNumberFormat="1" applyFont="1" applyFill="1" applyBorder="1" applyAlignment="1">
      <alignment vertical="center" wrapText="1"/>
    </xf>
    <xf numFmtId="6" fontId="25" fillId="8" borderId="16" xfId="0" applyNumberFormat="1" applyFont="1" applyFill="1" applyBorder="1" applyAlignment="1">
      <alignment horizontal="right" vertical="center" wrapText="1"/>
    </xf>
    <xf numFmtId="0" fontId="26" fillId="8" borderId="17" xfId="0" applyFont="1" applyFill="1" applyBorder="1" applyAlignment="1">
      <alignment horizontal="right" vertical="center" wrapText="1"/>
    </xf>
    <xf numFmtId="0" fontId="23" fillId="8" borderId="16" xfId="0" applyFont="1" applyFill="1" applyBorder="1" applyAlignment="1">
      <alignment horizontal="center" vertical="center" wrapText="1"/>
    </xf>
    <xf numFmtId="6" fontId="24" fillId="8" borderId="16" xfId="0" applyNumberFormat="1" applyFont="1" applyFill="1" applyBorder="1" applyAlignment="1">
      <alignment horizontal="right" vertical="center" wrapText="1"/>
    </xf>
    <xf numFmtId="6" fontId="24" fillId="8" borderId="17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vertical="center"/>
    </xf>
    <xf numFmtId="6" fontId="27" fillId="8" borderId="17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wrapText="1"/>
    </xf>
    <xf numFmtId="14" fontId="26" fillId="8" borderId="16" xfId="0" applyNumberFormat="1" applyFont="1" applyFill="1" applyBorder="1" applyAlignment="1">
      <alignment vertical="center" wrapText="1"/>
    </xf>
    <xf numFmtId="0" fontId="28" fillId="8" borderId="16" xfId="0" applyFont="1" applyFill="1" applyBorder="1" applyAlignment="1">
      <alignment horizontal="left" vertical="center" wrapText="1"/>
    </xf>
    <xf numFmtId="14" fontId="0" fillId="8" borderId="0" xfId="0" applyNumberFormat="1" applyFill="1" applyAlignment="1">
      <alignment vertical="center"/>
    </xf>
    <xf numFmtId="0" fontId="26" fillId="8" borderId="16" xfId="0" applyFont="1" applyFill="1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14" fontId="25" fillId="8" borderId="16" xfId="0" applyNumberFormat="1" applyFont="1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6" fontId="24" fillId="8" borderId="3" xfId="0" applyNumberFormat="1" applyFont="1" applyFill="1" applyBorder="1" applyAlignment="1">
      <alignment horizontal="right" vertical="center" wrapText="1"/>
    </xf>
    <xf numFmtId="6" fontId="27" fillId="8" borderId="18" xfId="0" applyNumberFormat="1" applyFont="1" applyFill="1" applyBorder="1" applyAlignment="1">
      <alignment horizontal="right" vertical="center" wrapText="1"/>
    </xf>
    <xf numFmtId="0" fontId="24" fillId="8" borderId="3" xfId="0" applyFont="1" applyFill="1" applyBorder="1" applyAlignment="1">
      <alignment horizontal="left" vertical="center" wrapText="1"/>
    </xf>
    <xf numFmtId="14" fontId="24" fillId="8" borderId="3" xfId="0" applyNumberFormat="1" applyFont="1" applyFill="1" applyBorder="1" applyAlignment="1">
      <alignment vertical="center" wrapText="1"/>
    </xf>
    <xf numFmtId="6" fontId="24" fillId="8" borderId="18" xfId="0" applyNumberFormat="1" applyFont="1" applyFill="1" applyBorder="1" applyAlignment="1">
      <alignment horizontal="right" vertical="center" wrapText="1"/>
    </xf>
    <xf numFmtId="0" fontId="0" fillId="8" borderId="0" xfId="0" applyFill="1"/>
    <xf numFmtId="0" fontId="24" fillId="8" borderId="19" xfId="0" applyFont="1" applyFill="1" applyBorder="1" applyAlignment="1">
      <alignment horizontal="left" vertical="center" wrapText="1"/>
    </xf>
    <xf numFmtId="0" fontId="30" fillId="8" borderId="19" xfId="0" applyFont="1" applyFill="1" applyBorder="1" applyAlignment="1">
      <alignment horizontal="center" vertical="center" wrapText="1"/>
    </xf>
    <xf numFmtId="0" fontId="28" fillId="8" borderId="19" xfId="0" applyFont="1" applyFill="1" applyBorder="1" applyAlignment="1">
      <alignment horizontal="left" vertical="center" wrapText="1"/>
    </xf>
    <xf numFmtId="0" fontId="24" fillId="8" borderId="19" xfId="0" applyFont="1" applyFill="1" applyBorder="1" applyAlignment="1">
      <alignment horizontal="center" vertical="center" wrapText="1"/>
    </xf>
    <xf numFmtId="0" fontId="0" fillId="8" borderId="19" xfId="0" applyFill="1" applyBorder="1"/>
    <xf numFmtId="0" fontId="0" fillId="8" borderId="16" xfId="0" applyFill="1" applyBorder="1"/>
    <xf numFmtId="14" fontId="25" fillId="8" borderId="19" xfId="0" applyNumberFormat="1" applyFont="1" applyFill="1" applyBorder="1" applyAlignment="1">
      <alignment vertical="center" wrapText="1"/>
    </xf>
    <xf numFmtId="6" fontId="31" fillId="8" borderId="16" xfId="0" applyNumberFormat="1" applyFont="1" applyFill="1" applyBorder="1" applyAlignment="1">
      <alignment horizontal="right" vertical="center" wrapText="1"/>
    </xf>
    <xf numFmtId="0" fontId="20" fillId="8" borderId="0" xfId="0" applyFont="1" applyFill="1" applyAlignment="1">
      <alignment wrapText="1"/>
    </xf>
    <xf numFmtId="0" fontId="24" fillId="8" borderId="20" xfId="0" applyFont="1" applyFill="1" applyBorder="1" applyAlignment="1">
      <alignment horizontal="left" vertical="center" wrapText="1"/>
    </xf>
    <xf numFmtId="0" fontId="32" fillId="8" borderId="19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left" vertical="top" wrapText="1"/>
    </xf>
    <xf numFmtId="0" fontId="25" fillId="8" borderId="19" xfId="0" applyFont="1" applyFill="1" applyBorder="1" applyAlignment="1">
      <alignment horizontal="left" vertical="center" wrapText="1"/>
    </xf>
    <xf numFmtId="6" fontId="25" fillId="8" borderId="19" xfId="0" applyNumberFormat="1" applyFont="1" applyFill="1" applyBorder="1" applyAlignment="1">
      <alignment horizontal="right" vertical="center" wrapText="1"/>
    </xf>
    <xf numFmtId="6" fontId="27" fillId="8" borderId="21" xfId="0" applyNumberFormat="1" applyFont="1" applyFill="1" applyBorder="1" applyAlignment="1">
      <alignment horizontal="right" vertical="center" wrapText="1"/>
    </xf>
    <xf numFmtId="0" fontId="33" fillId="0" borderId="22" xfId="0" applyFont="1" applyBorder="1" applyAlignment="1">
      <alignment vertical="center" wrapText="1"/>
    </xf>
    <xf numFmtId="0" fontId="34" fillId="8" borderId="15" xfId="0" applyFont="1" applyFill="1" applyBorder="1" applyAlignment="1">
      <alignment horizontal="left" vertical="center" wrapText="1"/>
    </xf>
    <xf numFmtId="0" fontId="35" fillId="8" borderId="16" xfId="0" applyFont="1" applyFill="1" applyBorder="1" applyAlignment="1">
      <alignment horizontal="center" vertical="center" wrapText="1"/>
    </xf>
    <xf numFmtId="0" fontId="36" fillId="8" borderId="16" xfId="0" applyFont="1" applyFill="1" applyBorder="1" applyAlignment="1">
      <alignment horizontal="left" vertical="center" wrapText="1"/>
    </xf>
    <xf numFmtId="0" fontId="34" fillId="8" borderId="16" xfId="0" applyFont="1" applyFill="1" applyBorder="1" applyAlignment="1">
      <alignment horizontal="center" vertical="center" wrapText="1"/>
    </xf>
    <xf numFmtId="0" fontId="34" fillId="8" borderId="16" xfId="0" applyFont="1" applyFill="1" applyBorder="1" applyAlignment="1">
      <alignment horizontal="left" vertical="center" wrapText="1"/>
    </xf>
    <xf numFmtId="14" fontId="34" fillId="8" borderId="16" xfId="0" applyNumberFormat="1" applyFont="1" applyFill="1" applyBorder="1" applyAlignment="1">
      <alignment vertical="center" wrapText="1"/>
    </xf>
    <xf numFmtId="6" fontId="34" fillId="8" borderId="16" xfId="0" applyNumberFormat="1" applyFont="1" applyFill="1" applyBorder="1" applyAlignment="1">
      <alignment horizontal="right" vertical="center" wrapText="1"/>
    </xf>
    <xf numFmtId="0" fontId="37" fillId="8" borderId="0" xfId="0" applyFont="1" applyFill="1" applyAlignment="1">
      <alignment vertical="center" wrapText="1"/>
    </xf>
    <xf numFmtId="14" fontId="34" fillId="8" borderId="23" xfId="0" applyNumberFormat="1" applyFont="1" applyFill="1" applyBorder="1" applyAlignment="1">
      <alignment horizontal="left" vertical="center" wrapText="1"/>
    </xf>
    <xf numFmtId="6" fontId="34" fillId="8" borderId="23" xfId="0" applyNumberFormat="1" applyFont="1" applyFill="1" applyBorder="1" applyAlignment="1">
      <alignment horizontal="right" vertical="center" wrapText="1"/>
    </xf>
    <xf numFmtId="6" fontId="27" fillId="8" borderId="24" xfId="0" applyNumberFormat="1" applyFont="1" applyFill="1" applyBorder="1" applyAlignment="1">
      <alignment horizontal="right" vertical="center" wrapText="1"/>
    </xf>
    <xf numFmtId="6" fontId="24" fillId="8" borderId="26" xfId="0" applyNumberFormat="1" applyFont="1" applyFill="1" applyBorder="1" applyAlignment="1">
      <alignment horizontal="right" vertical="center" wrapText="1"/>
    </xf>
    <xf numFmtId="6" fontId="24" fillId="8" borderId="27" xfId="0" applyNumberFormat="1" applyFont="1" applyFill="1" applyBorder="1" applyAlignment="1">
      <alignment horizontal="right" vertical="center" wrapText="1"/>
    </xf>
    <xf numFmtId="0" fontId="20" fillId="8" borderId="0" xfId="0" applyFont="1" applyFill="1"/>
    <xf numFmtId="6" fontId="0" fillId="0" borderId="0" xfId="0" applyNumberForma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6" fontId="0" fillId="0" borderId="0" xfId="0" applyNumberFormat="1"/>
    <xf numFmtId="3" fontId="5" fillId="0" borderId="0" xfId="0" applyNumberFormat="1" applyFont="1"/>
    <xf numFmtId="0" fontId="13" fillId="0" borderId="0" xfId="0" applyFont="1" applyAlignment="1">
      <alignment wrapText="1"/>
    </xf>
    <xf numFmtId="0" fontId="38" fillId="9" borderId="26" xfId="0" applyFont="1" applyFill="1" applyBorder="1" applyAlignment="1">
      <alignment horizontal="center" vertical="center" wrapText="1"/>
    </xf>
    <xf numFmtId="6" fontId="40" fillId="9" borderId="27" xfId="0" applyNumberFormat="1" applyFont="1" applyFill="1" applyBorder="1" applyAlignment="1">
      <alignment vertical="center"/>
    </xf>
    <xf numFmtId="0" fontId="2" fillId="10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right"/>
      <protection locked="0"/>
    </xf>
    <xf numFmtId="3" fontId="0" fillId="3" borderId="1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3" fillId="3" borderId="1" xfId="0" applyFont="1" applyFill="1" applyBorder="1" applyAlignment="1" applyProtection="1">
      <alignment horizontal="justify"/>
      <protection locked="0"/>
    </xf>
    <xf numFmtId="0" fontId="3" fillId="4" borderId="1" xfId="0" applyFont="1" applyFill="1" applyBorder="1" applyAlignment="1">
      <alignment horizontal="center"/>
    </xf>
    <xf numFmtId="0" fontId="4" fillId="5" borderId="0" xfId="0" applyFont="1" applyFill="1"/>
    <xf numFmtId="0" fontId="0" fillId="4" borderId="1" xfId="0" applyFill="1" applyBorder="1"/>
    <xf numFmtId="3" fontId="0" fillId="4" borderId="1" xfId="0" applyNumberFormat="1" applyFill="1" applyBorder="1" applyProtection="1">
      <protection locked="0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/>
    </xf>
    <xf numFmtId="10" fontId="3" fillId="2" borderId="1" xfId="2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3" fontId="3" fillId="2" borderId="1" xfId="0" applyNumberFormat="1" applyFont="1" applyFill="1" applyBorder="1"/>
    <xf numFmtId="3" fontId="0" fillId="2" borderId="1" xfId="0" applyNumberFormat="1" applyFill="1" applyBorder="1" applyProtection="1">
      <protection locked="0"/>
    </xf>
    <xf numFmtId="0" fontId="4" fillId="0" borderId="0" xfId="0" applyFont="1"/>
    <xf numFmtId="10" fontId="3" fillId="4" borderId="1" xfId="2" applyNumberFormat="1" applyFont="1" applyFill="1" applyBorder="1" applyAlignment="1">
      <alignment horizontal="left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left"/>
    </xf>
    <xf numFmtId="10" fontId="3" fillId="6" borderId="1" xfId="2" applyNumberFormat="1" applyFont="1" applyFill="1" applyBorder="1" applyAlignment="1">
      <alignment horizontal="left"/>
    </xf>
    <xf numFmtId="0" fontId="3" fillId="6" borderId="1" xfId="0" applyFont="1" applyFill="1" applyBorder="1" applyAlignment="1">
      <alignment horizontal="right"/>
    </xf>
    <xf numFmtId="3" fontId="3" fillId="6" borderId="1" xfId="0" applyNumberFormat="1" applyFont="1" applyFill="1" applyBorder="1"/>
    <xf numFmtId="3" fontId="0" fillId="6" borderId="1" xfId="0" applyNumberFormat="1" applyFill="1" applyBorder="1" applyProtection="1">
      <protection locked="0"/>
    </xf>
    <xf numFmtId="0" fontId="0" fillId="0" borderId="7" xfId="0" applyBorder="1"/>
    <xf numFmtId="0" fontId="4" fillId="5" borderId="1" xfId="0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left" wrapText="1"/>
    </xf>
    <xf numFmtId="0" fontId="3" fillId="5" borderId="0" xfId="0" applyFont="1" applyFill="1" applyAlignment="1">
      <alignment horizontal="left"/>
    </xf>
    <xf numFmtId="10" fontId="3" fillId="5" borderId="0" xfId="2" applyNumberFormat="1" applyFont="1" applyFill="1" applyAlignment="1">
      <alignment horizontal="left"/>
    </xf>
    <xf numFmtId="0" fontId="3" fillId="5" borderId="0" xfId="0" applyFont="1" applyFill="1" applyAlignment="1">
      <alignment horizontal="right"/>
    </xf>
    <xf numFmtId="3" fontId="3" fillId="5" borderId="0" xfId="0" applyNumberFormat="1" applyFont="1" applyFill="1"/>
    <xf numFmtId="3" fontId="0" fillId="5" borderId="0" xfId="0" applyNumberFormat="1" applyFill="1"/>
    <xf numFmtId="0" fontId="0" fillId="5" borderId="0" xfId="0" applyFill="1"/>
    <xf numFmtId="10" fontId="5" fillId="0" borderId="0" xfId="2" applyNumberFormat="1" applyFont="1" applyAlignment="1">
      <alignment horizontal="center" vertical="center"/>
    </xf>
    <xf numFmtId="3" fontId="9" fillId="0" borderId="30" xfId="2" applyNumberFormat="1" applyFont="1" applyBorder="1" applyAlignment="1">
      <alignment horizontal="right" vertical="center" wrapText="1"/>
    </xf>
    <xf numFmtId="3" fontId="11" fillId="0" borderId="30" xfId="2" applyNumberFormat="1" applyFont="1" applyBorder="1" applyAlignment="1">
      <alignment horizontal="right" vertical="center" wrapText="1"/>
    </xf>
    <xf numFmtId="3" fontId="13" fillId="0" borderId="30" xfId="2" applyNumberFormat="1" applyFont="1" applyBorder="1" applyAlignment="1">
      <alignment horizontal="right" vertical="center" wrapText="1"/>
    </xf>
    <xf numFmtId="3" fontId="15" fillId="0" borderId="30" xfId="2" applyNumberFormat="1" applyFont="1" applyBorder="1" applyAlignment="1">
      <alignment horizontal="right" vertical="center" wrapText="1"/>
    </xf>
    <xf numFmtId="3" fontId="42" fillId="0" borderId="0" xfId="0" applyNumberFormat="1" applyFont="1" applyAlignment="1">
      <alignment horizontal="right"/>
    </xf>
    <xf numFmtId="0" fontId="41" fillId="0" borderId="1" xfId="0" applyFont="1" applyBorder="1" applyAlignment="1">
      <alignment wrapText="1"/>
    </xf>
    <xf numFmtId="0" fontId="2" fillId="0" borderId="1" xfId="0" applyFont="1" applyBorder="1"/>
    <xf numFmtId="3" fontId="43" fillId="0" borderId="0" xfId="0" applyNumberFormat="1" applyFont="1" applyAlignment="1">
      <alignment horizontal="center"/>
    </xf>
    <xf numFmtId="0" fontId="2" fillId="0" borderId="0" xfId="0" applyFont="1"/>
    <xf numFmtId="3" fontId="0" fillId="0" borderId="1" xfId="0" applyNumberFormat="1" applyBorder="1"/>
    <xf numFmtId="3" fontId="3" fillId="11" borderId="1" xfId="0" applyNumberFormat="1" applyFont="1" applyFill="1" applyBorder="1" applyAlignment="1">
      <alignment horizontal="right"/>
    </xf>
    <xf numFmtId="10" fontId="44" fillId="0" borderId="0" xfId="2" applyNumberFormat="1" applyFont="1" applyAlignment="1">
      <alignment horizontal="left" vertical="center"/>
    </xf>
    <xf numFmtId="3" fontId="11" fillId="0" borderId="1" xfId="0" applyNumberFormat="1" applyFont="1" applyBorder="1"/>
    <xf numFmtId="3" fontId="11" fillId="0" borderId="29" xfId="0" applyNumberFormat="1" applyFont="1" applyBorder="1"/>
    <xf numFmtId="3" fontId="43" fillId="0" borderId="0" xfId="0" applyNumberFormat="1" applyFont="1"/>
    <xf numFmtId="3" fontId="41" fillId="0" borderId="0" xfId="0" applyNumberFormat="1" applyFont="1"/>
    <xf numFmtId="3" fontId="2" fillId="0" borderId="0" xfId="0" applyNumberFormat="1" applyFont="1"/>
    <xf numFmtId="3" fontId="8" fillId="0" borderId="1" xfId="0" applyNumberFormat="1" applyFont="1" applyBorder="1"/>
    <xf numFmtId="0" fontId="0" fillId="0" borderId="1" xfId="0" applyBorder="1"/>
    <xf numFmtId="0" fontId="17" fillId="3" borderId="0" xfId="0" applyFont="1" applyFill="1"/>
    <xf numFmtId="3" fontId="17" fillId="0" borderId="0" xfId="0" applyNumberFormat="1" applyFont="1"/>
    <xf numFmtId="0" fontId="17" fillId="4" borderId="0" xfId="0" applyFont="1" applyFill="1"/>
    <xf numFmtId="0" fontId="17" fillId="2" borderId="0" xfId="0" applyFont="1" applyFill="1"/>
    <xf numFmtId="3" fontId="18" fillId="0" borderId="1" xfId="0" applyNumberFormat="1" applyFont="1" applyBorder="1"/>
    <xf numFmtId="10" fontId="45" fillId="0" borderId="0" xfId="2" applyNumberFormat="1" applyFont="1" applyAlignment="1">
      <alignment horizontal="left" vertical="center"/>
    </xf>
    <xf numFmtId="0" fontId="2" fillId="6" borderId="1" xfId="0" applyFont="1" applyFill="1" applyBorder="1"/>
    <xf numFmtId="0" fontId="2" fillId="6" borderId="29" xfId="0" applyFont="1" applyFill="1" applyBorder="1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3" fillId="8" borderId="0" xfId="0" applyFont="1" applyFill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46" fillId="12" borderId="34" xfId="0" applyFont="1" applyFill="1" applyBorder="1" applyAlignment="1">
      <alignment horizontal="right" vertical="center"/>
    </xf>
    <xf numFmtId="3" fontId="46" fillId="12" borderId="35" xfId="0" applyNumberFormat="1" applyFont="1" applyFill="1" applyBorder="1" applyAlignment="1">
      <alignment horizontal="center" vertical="center"/>
    </xf>
    <xf numFmtId="0" fontId="46" fillId="13" borderId="0" xfId="0" applyFont="1" applyFill="1" applyAlignment="1">
      <alignment horizontal="right" vertical="center"/>
    </xf>
    <xf numFmtId="3" fontId="47" fillId="14" borderId="0" xfId="0" applyNumberFormat="1" applyFont="1" applyFill="1" applyAlignment="1">
      <alignment horizontal="center" vertical="center"/>
    </xf>
    <xf numFmtId="4" fontId="38" fillId="8" borderId="16" xfId="0" applyNumberFormat="1" applyFont="1" applyFill="1" applyBorder="1" applyAlignment="1">
      <alignment horizontal="center" vertical="center" wrapText="1"/>
    </xf>
    <xf numFmtId="4" fontId="48" fillId="15" borderId="28" xfId="0" applyNumberFormat="1" applyFont="1" applyFill="1" applyBorder="1" applyAlignment="1">
      <alignment horizontal="center" vertical="center" wrapText="1"/>
    </xf>
    <xf numFmtId="0" fontId="48" fillId="16" borderId="28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9" fillId="8" borderId="36" xfId="0" applyFont="1" applyFill="1" applyBorder="1" applyAlignment="1">
      <alignment horizontal="left" vertical="center"/>
    </xf>
    <xf numFmtId="4" fontId="50" fillId="17" borderId="37" xfId="0" applyNumberFormat="1" applyFont="1" applyFill="1" applyBorder="1" applyAlignment="1">
      <alignment horizontal="center" vertical="center" wrapText="1"/>
    </xf>
    <xf numFmtId="0" fontId="50" fillId="17" borderId="38" xfId="0" applyFont="1" applyFill="1" applyBorder="1" applyAlignment="1">
      <alignment horizontal="center" vertical="center"/>
    </xf>
    <xf numFmtId="3" fontId="50" fillId="17" borderId="38" xfId="0" applyNumberFormat="1" applyFont="1" applyFill="1" applyBorder="1" applyAlignment="1">
      <alignment horizontal="center" vertical="center"/>
    </xf>
    <xf numFmtId="0" fontId="50" fillId="17" borderId="39" xfId="0" applyFont="1" applyFill="1" applyBorder="1" applyAlignment="1">
      <alignment horizontal="center" vertical="center"/>
    </xf>
    <xf numFmtId="4" fontId="48" fillId="8" borderId="0" xfId="0" applyNumberFormat="1" applyFont="1" applyFill="1" applyAlignment="1">
      <alignment horizontal="center" vertical="center" wrapText="1"/>
    </xf>
    <xf numFmtId="4" fontId="48" fillId="8" borderId="16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vertical="center" wrapText="1"/>
    </xf>
    <xf numFmtId="4" fontId="43" fillId="0" borderId="40" xfId="0" applyNumberFormat="1" applyFont="1" applyBorder="1" applyAlignment="1">
      <alignment horizontal="center" vertical="center"/>
    </xf>
    <xf numFmtId="4" fontId="43" fillId="0" borderId="41" xfId="0" applyNumberFormat="1" applyFont="1" applyBorder="1" applyAlignment="1">
      <alignment horizontal="center" vertical="center"/>
    </xf>
    <xf numFmtId="3" fontId="43" fillId="0" borderId="42" xfId="0" applyNumberFormat="1" applyFont="1" applyBorder="1" applyAlignment="1">
      <alignment horizontal="center" vertical="center"/>
    </xf>
    <xf numFmtId="4" fontId="43" fillId="0" borderId="43" xfId="0" applyNumberFormat="1" applyFont="1" applyBorder="1" applyAlignment="1">
      <alignment horizontal="center" vertical="center"/>
    </xf>
    <xf numFmtId="3" fontId="51" fillId="0" borderId="44" xfId="0" applyNumberFormat="1" applyFont="1" applyBorder="1" applyAlignment="1">
      <alignment horizontal="center" vertical="center"/>
    </xf>
    <xf numFmtId="4" fontId="52" fillId="18" borderId="45" xfId="0" applyNumberFormat="1" applyFont="1" applyFill="1" applyBorder="1" applyAlignment="1">
      <alignment vertical="center" wrapText="1"/>
    </xf>
    <xf numFmtId="4" fontId="43" fillId="18" borderId="46" xfId="0" applyNumberFormat="1" applyFont="1" applyFill="1" applyBorder="1" applyAlignment="1">
      <alignment vertical="center" wrapText="1"/>
    </xf>
    <xf numFmtId="4" fontId="43" fillId="18" borderId="47" xfId="0" applyNumberFormat="1" applyFont="1" applyFill="1" applyBorder="1" applyAlignment="1">
      <alignment vertical="center" wrapText="1"/>
    </xf>
    <xf numFmtId="3" fontId="43" fillId="18" borderId="48" xfId="0" applyNumberFormat="1" applyFont="1" applyFill="1" applyBorder="1" applyAlignment="1">
      <alignment vertical="center" wrapText="1"/>
    </xf>
    <xf numFmtId="4" fontId="2" fillId="18" borderId="49" xfId="0" applyNumberFormat="1" applyFont="1" applyFill="1" applyBorder="1" applyAlignment="1">
      <alignment vertical="center" wrapText="1"/>
    </xf>
    <xf numFmtId="9" fontId="50" fillId="8" borderId="0" xfId="0" applyNumberFormat="1" applyFont="1" applyFill="1" applyAlignment="1">
      <alignment horizontal="center" vertical="center" wrapText="1"/>
    </xf>
    <xf numFmtId="3" fontId="2" fillId="18" borderId="11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2" fillId="8" borderId="50" xfId="0" applyNumberFormat="1" applyFont="1" applyFill="1" applyBorder="1" applyAlignment="1">
      <alignment vertical="center" wrapText="1"/>
    </xf>
    <xf numFmtId="4" fontId="2" fillId="8" borderId="51" xfId="0" applyNumberFormat="1" applyFont="1" applyFill="1" applyBorder="1" applyAlignment="1">
      <alignment vertical="center" wrapText="1"/>
    </xf>
    <xf numFmtId="4" fontId="4" fillId="8" borderId="11" xfId="0" applyNumberFormat="1" applyFont="1" applyFill="1" applyBorder="1" applyAlignment="1">
      <alignment vertical="center" wrapText="1"/>
    </xf>
    <xf numFmtId="4" fontId="52" fillId="18" borderId="45" xfId="0" applyNumberFormat="1" applyFont="1" applyFill="1" applyBorder="1" applyAlignment="1">
      <alignment horizontal="right" vertical="center" wrapText="1"/>
    </xf>
    <xf numFmtId="3" fontId="43" fillId="19" borderId="52" xfId="0" applyNumberFormat="1" applyFont="1" applyFill="1" applyBorder="1" applyAlignment="1">
      <alignment vertical="center" wrapText="1"/>
    </xf>
    <xf numFmtId="4" fontId="2" fillId="18" borderId="53" xfId="0" applyNumberFormat="1" applyFont="1" applyFill="1" applyBorder="1" applyAlignment="1">
      <alignment vertical="center" wrapText="1"/>
    </xf>
    <xf numFmtId="3" fontId="20" fillId="18" borderId="24" xfId="0" applyNumberFormat="1" applyFont="1" applyFill="1" applyBorder="1" applyAlignment="1">
      <alignment horizontal="center" vertical="center" wrapText="1"/>
    </xf>
    <xf numFmtId="4" fontId="2" fillId="8" borderId="28" xfId="0" applyNumberFormat="1" applyFont="1" applyFill="1" applyBorder="1" applyAlignment="1">
      <alignment vertical="center" wrapText="1"/>
    </xf>
    <xf numFmtId="4" fontId="2" fillId="8" borderId="54" xfId="0" applyNumberFormat="1" applyFont="1" applyFill="1" applyBorder="1" applyAlignment="1">
      <alignment vertical="center" wrapText="1"/>
    </xf>
    <xf numFmtId="4" fontId="4" fillId="8" borderId="55" xfId="0" applyNumberFormat="1" applyFont="1" applyFill="1" applyBorder="1" applyAlignment="1">
      <alignment vertical="center" wrapText="1"/>
    </xf>
    <xf numFmtId="3" fontId="43" fillId="18" borderId="52" xfId="0" applyNumberFormat="1" applyFont="1" applyFill="1" applyBorder="1" applyAlignment="1">
      <alignment vertical="center" wrapText="1"/>
    </xf>
    <xf numFmtId="4" fontId="2" fillId="18" borderId="56" xfId="0" applyNumberFormat="1" applyFont="1" applyFill="1" applyBorder="1" applyAlignment="1">
      <alignment vertical="center" wrapText="1"/>
    </xf>
    <xf numFmtId="3" fontId="3" fillId="8" borderId="0" xfId="0" applyNumberFormat="1" applyFont="1" applyFill="1" applyAlignment="1">
      <alignment vertical="center" wrapText="1"/>
    </xf>
    <xf numFmtId="3" fontId="2" fillId="19" borderId="57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58" xfId="0" applyNumberFormat="1" applyFont="1" applyBorder="1" applyAlignment="1">
      <alignment vertical="center" wrapText="1"/>
    </xf>
    <xf numFmtId="4" fontId="4" fillId="0" borderId="44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0" fontId="41" fillId="0" borderId="45" xfId="0" applyFont="1" applyBorder="1" applyAlignment="1">
      <alignment horizontal="left" vertical="center" wrapText="1"/>
    </xf>
    <xf numFmtId="4" fontId="0" fillId="0" borderId="46" xfId="0" applyNumberFormat="1" applyBorder="1" applyAlignment="1">
      <alignment vertical="center" wrapText="1"/>
    </xf>
    <xf numFmtId="4" fontId="0" fillId="0" borderId="59" xfId="0" applyNumberFormat="1" applyBorder="1" applyAlignment="1">
      <alignment vertical="center" wrapText="1"/>
    </xf>
    <xf numFmtId="3" fontId="0" fillId="9" borderId="60" xfId="0" applyNumberFormat="1" applyFill="1" applyBorder="1" applyAlignment="1">
      <alignment vertical="center" wrapText="1"/>
    </xf>
    <xf numFmtId="4" fontId="0" fillId="0" borderId="53" xfId="0" applyNumberFormat="1" applyBorder="1" applyAlignment="1">
      <alignment vertical="center" wrapText="1"/>
    </xf>
    <xf numFmtId="0" fontId="41" fillId="8" borderId="0" xfId="0" applyFont="1" applyFill="1" applyAlignment="1">
      <alignment vertical="center" wrapText="1"/>
    </xf>
    <xf numFmtId="3" fontId="53" fillId="8" borderId="16" xfId="0" applyNumberFormat="1" applyFont="1" applyFill="1" applyBorder="1" applyAlignment="1">
      <alignment horizontal="center" vertical="center" wrapText="1"/>
    </xf>
    <xf numFmtId="4" fontId="0" fillId="0" borderId="61" xfId="0" applyNumberFormat="1" applyBorder="1" applyAlignment="1">
      <alignment vertical="center" wrapText="1"/>
    </xf>
    <xf numFmtId="4" fontId="0" fillId="0" borderId="55" xfId="0" applyNumberFormat="1" applyBorder="1" applyAlignment="1">
      <alignment vertical="center" wrapText="1"/>
    </xf>
    <xf numFmtId="0" fontId="4" fillId="0" borderId="61" xfId="0" applyFont="1" applyBorder="1" applyAlignment="1">
      <alignment vertical="center" wrapText="1"/>
    </xf>
    <xf numFmtId="4" fontId="0" fillId="0" borderId="62" xfId="0" applyNumberFormat="1" applyBorder="1" applyAlignment="1">
      <alignment vertical="center" wrapText="1"/>
    </xf>
    <xf numFmtId="4" fontId="0" fillId="0" borderId="33" xfId="0" applyNumberFormat="1" applyBorder="1" applyAlignment="1">
      <alignment vertical="center" wrapText="1"/>
    </xf>
    <xf numFmtId="3" fontId="0" fillId="9" borderId="63" xfId="0" applyNumberFormat="1" applyFill="1" applyBorder="1" applyAlignment="1">
      <alignment vertical="center" wrapText="1"/>
    </xf>
    <xf numFmtId="4" fontId="0" fillId="0" borderId="64" xfId="0" applyNumberFormat="1" applyBorder="1" applyAlignment="1">
      <alignment vertical="center" wrapText="1"/>
    </xf>
    <xf numFmtId="4" fontId="0" fillId="0" borderId="65" xfId="0" applyNumberFormat="1" applyBorder="1" applyAlignment="1">
      <alignment vertical="center" wrapText="1"/>
    </xf>
    <xf numFmtId="4" fontId="0" fillId="0" borderId="66" xfId="0" applyNumberFormat="1" applyBorder="1" applyAlignment="1">
      <alignment vertical="center" wrapText="1"/>
    </xf>
    <xf numFmtId="0" fontId="4" fillId="0" borderId="65" xfId="0" applyFont="1" applyBorder="1" applyAlignment="1">
      <alignment vertical="center" wrapText="1"/>
    </xf>
    <xf numFmtId="4" fontId="0" fillId="0" borderId="67" xfId="0" applyNumberFormat="1" applyBorder="1" applyAlignment="1">
      <alignment vertical="center" wrapText="1"/>
    </xf>
    <xf numFmtId="3" fontId="0" fillId="9" borderId="52" xfId="0" applyNumberFormat="1" applyFill="1" applyBorder="1" applyAlignment="1">
      <alignment vertical="center" wrapText="1"/>
    </xf>
    <xf numFmtId="4" fontId="0" fillId="0" borderId="68" xfId="0" applyNumberFormat="1" applyBorder="1" applyAlignment="1">
      <alignment vertical="center" wrapText="1"/>
    </xf>
    <xf numFmtId="3" fontId="0" fillId="0" borderId="52" xfId="0" applyNumberFormat="1" applyBorder="1" applyAlignment="1">
      <alignment vertical="center" wrapText="1"/>
    </xf>
    <xf numFmtId="3" fontId="54" fillId="8" borderId="16" xfId="0" applyNumberFormat="1" applyFont="1" applyFill="1" applyBorder="1" applyAlignment="1">
      <alignment horizontal="center" vertical="center" wrapText="1"/>
    </xf>
    <xf numFmtId="4" fontId="3" fillId="0" borderId="62" xfId="0" applyNumberFormat="1" applyFont="1" applyBorder="1" applyAlignment="1">
      <alignment vertical="center" wrapText="1"/>
    </xf>
    <xf numFmtId="4" fontId="3" fillId="0" borderId="68" xfId="0" applyNumberFormat="1" applyFont="1" applyBorder="1" applyAlignment="1">
      <alignment vertical="center" wrapText="1"/>
    </xf>
    <xf numFmtId="3" fontId="3" fillId="9" borderId="52" xfId="0" applyNumberFormat="1" applyFont="1" applyFill="1" applyBorder="1" applyAlignment="1">
      <alignment vertical="center" wrapText="1"/>
    </xf>
    <xf numFmtId="4" fontId="3" fillId="0" borderId="64" xfId="0" applyNumberFormat="1" applyFont="1" applyBorder="1" applyAlignment="1">
      <alignment vertical="center" wrapText="1"/>
    </xf>
    <xf numFmtId="4" fontId="0" fillId="0" borderId="69" xfId="0" applyNumberFormat="1" applyBorder="1" applyAlignment="1">
      <alignment vertical="center" wrapText="1"/>
    </xf>
    <xf numFmtId="4" fontId="0" fillId="0" borderId="70" xfId="0" applyNumberFormat="1" applyBorder="1" applyAlignment="1">
      <alignment vertical="center" wrapText="1"/>
    </xf>
    <xf numFmtId="0" fontId="55" fillId="0" borderId="71" xfId="0" applyFont="1" applyBorder="1" applyAlignment="1">
      <alignment horizontal="right" vertical="center" wrapText="1"/>
    </xf>
    <xf numFmtId="4" fontId="55" fillId="0" borderId="72" xfId="0" applyNumberFormat="1" applyFont="1" applyBorder="1" applyAlignment="1">
      <alignment vertical="center" wrapText="1"/>
    </xf>
    <xf numFmtId="4" fontId="55" fillId="0" borderId="73" xfId="0" applyNumberFormat="1" applyFont="1" applyBorder="1" applyAlignment="1">
      <alignment vertical="center" wrapText="1"/>
    </xf>
    <xf numFmtId="3" fontId="55" fillId="0" borderId="52" xfId="0" applyNumberFormat="1" applyFont="1" applyBorder="1" applyAlignment="1">
      <alignment vertical="center" wrapText="1"/>
    </xf>
    <xf numFmtId="4" fontId="55" fillId="0" borderId="64" xfId="0" applyNumberFormat="1" applyFont="1" applyBorder="1" applyAlignment="1">
      <alignment vertical="center" wrapText="1"/>
    </xf>
    <xf numFmtId="4" fontId="55" fillId="0" borderId="74" xfId="0" applyNumberFormat="1" applyFont="1" applyBorder="1" applyAlignment="1">
      <alignment vertical="center" wrapText="1"/>
    </xf>
    <xf numFmtId="4" fontId="55" fillId="0" borderId="68" xfId="0" applyNumberFormat="1" applyFont="1" applyBorder="1" applyAlignment="1">
      <alignment vertical="center" wrapText="1"/>
    </xf>
    <xf numFmtId="4" fontId="55" fillId="0" borderId="70" xfId="0" applyNumberFormat="1" applyFont="1" applyBorder="1" applyAlignment="1">
      <alignment vertical="center" wrapText="1"/>
    </xf>
    <xf numFmtId="3" fontId="55" fillId="0" borderId="75" xfId="0" applyNumberFormat="1" applyFont="1" applyBorder="1" applyAlignment="1">
      <alignment vertical="center" wrapText="1"/>
    </xf>
    <xf numFmtId="4" fontId="55" fillId="0" borderId="76" xfId="0" applyNumberFormat="1" applyFont="1" applyBorder="1" applyAlignment="1">
      <alignment vertical="center" wrapText="1"/>
    </xf>
    <xf numFmtId="4" fontId="55" fillId="0" borderId="77" xfId="0" applyNumberFormat="1" applyFont="1" applyBorder="1" applyAlignment="1">
      <alignment vertical="center" wrapText="1"/>
    </xf>
    <xf numFmtId="3" fontId="55" fillId="0" borderId="78" xfId="0" applyNumberFormat="1" applyFont="1" applyBorder="1" applyAlignment="1">
      <alignment vertical="center" wrapText="1"/>
    </xf>
    <xf numFmtId="4" fontId="55" fillId="0" borderId="79" xfId="0" applyNumberFormat="1" applyFont="1" applyBorder="1" applyAlignment="1">
      <alignment vertical="center" wrapText="1"/>
    </xf>
    <xf numFmtId="0" fontId="41" fillId="0" borderId="71" xfId="0" applyFont="1" applyBorder="1" applyAlignment="1">
      <alignment horizontal="left" vertical="center" wrapText="1"/>
    </xf>
    <xf numFmtId="4" fontId="0" fillId="8" borderId="80" xfId="0" applyNumberFormat="1" applyFill="1" applyBorder="1" applyAlignment="1">
      <alignment vertical="center" wrapText="1"/>
    </xf>
    <xf numFmtId="4" fontId="0" fillId="8" borderId="81" xfId="0" applyNumberFormat="1" applyFill="1" applyBorder="1" applyAlignment="1">
      <alignment vertical="center" wrapText="1"/>
    </xf>
    <xf numFmtId="3" fontId="0" fillId="8" borderId="80" xfId="0" applyNumberFormat="1" applyFill="1" applyBorder="1" applyAlignment="1">
      <alignment vertical="center" wrapText="1"/>
    </xf>
    <xf numFmtId="4" fontId="0" fillId="8" borderId="82" xfId="0" applyNumberFormat="1" applyFill="1" applyBorder="1" applyAlignment="1">
      <alignment vertical="center" wrapText="1"/>
    </xf>
    <xf numFmtId="4" fontId="0" fillId="8" borderId="13" xfId="0" applyNumberForma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4" fontId="0" fillId="8" borderId="80" xfId="0" applyNumberFormat="1" applyFill="1" applyBorder="1" applyAlignment="1">
      <alignment horizontal="right" vertical="center" wrapText="1"/>
    </xf>
    <xf numFmtId="3" fontId="0" fillId="8" borderId="80" xfId="0" applyNumberFormat="1" applyFill="1" applyBorder="1" applyAlignment="1">
      <alignment horizontal="right" vertical="center" wrapText="1"/>
    </xf>
    <xf numFmtId="4" fontId="0" fillId="8" borderId="83" xfId="0" applyNumberFormat="1" applyFill="1" applyBorder="1" applyAlignment="1">
      <alignment horizontal="right" vertical="center" wrapText="1"/>
    </xf>
    <xf numFmtId="0" fontId="54" fillId="8" borderId="0" xfId="0" applyFont="1" applyFill="1" applyAlignment="1">
      <alignment vertical="center" wrapText="1"/>
    </xf>
    <xf numFmtId="0" fontId="17" fillId="0" borderId="16" xfId="0" applyFont="1" applyBorder="1" applyAlignment="1">
      <alignment vertical="center"/>
    </xf>
    <xf numFmtId="4" fontId="17" fillId="8" borderId="65" xfId="0" applyNumberFormat="1" applyFont="1" applyFill="1" applyBorder="1" applyAlignment="1">
      <alignment horizontal="right" vertical="center" wrapText="1"/>
    </xf>
    <xf numFmtId="4" fontId="17" fillId="8" borderId="66" xfId="0" applyNumberFormat="1" applyFont="1" applyFill="1" applyBorder="1" applyAlignment="1">
      <alignment horizontal="right" vertical="center" wrapText="1"/>
    </xf>
    <xf numFmtId="4" fontId="56" fillId="0" borderId="65" xfId="0" applyNumberFormat="1" applyFont="1" applyBorder="1" applyAlignment="1">
      <alignment vertical="center" wrapText="1"/>
    </xf>
    <xf numFmtId="0" fontId="57" fillId="0" borderId="0" xfId="0" applyFont="1" applyAlignment="1">
      <alignment vertical="center"/>
    </xf>
    <xf numFmtId="4" fontId="57" fillId="0" borderId="65" xfId="0" applyNumberFormat="1" applyFont="1" applyBorder="1" applyAlignment="1">
      <alignment vertical="center" wrapText="1"/>
    </xf>
    <xf numFmtId="0" fontId="57" fillId="0" borderId="65" xfId="0" applyFont="1" applyBorder="1" applyAlignment="1">
      <alignment vertical="center" wrapText="1"/>
    </xf>
    <xf numFmtId="10" fontId="49" fillId="8" borderId="0" xfId="0" applyNumberFormat="1" applyFont="1" applyFill="1" applyAlignment="1">
      <alignment horizontal="right" vertical="center" wrapText="1"/>
    </xf>
    <xf numFmtId="4" fontId="17" fillId="0" borderId="24" xfId="0" applyNumberFormat="1" applyFont="1" applyBorder="1" applyAlignment="1">
      <alignment horizontal="right" vertical="center" wrapText="1"/>
    </xf>
    <xf numFmtId="0" fontId="4" fillId="0" borderId="84" xfId="0" applyFont="1" applyBorder="1" applyAlignment="1">
      <alignment vertical="center" wrapText="1"/>
    </xf>
    <xf numFmtId="3" fontId="0" fillId="20" borderId="80" xfId="0" applyNumberFormat="1" applyFill="1" applyBorder="1" applyAlignment="1">
      <alignment horizontal="right" vertical="center" wrapText="1"/>
    </xf>
    <xf numFmtId="4" fontId="17" fillId="0" borderId="85" xfId="0" applyNumberFormat="1" applyFont="1" applyBorder="1" applyAlignment="1">
      <alignment horizontal="right" vertical="center" wrapText="1"/>
    </xf>
    <xf numFmtId="3" fontId="3" fillId="20" borderId="80" xfId="0" applyNumberFormat="1" applyFont="1" applyFill="1" applyBorder="1" applyAlignment="1">
      <alignment horizontal="right" vertical="center" wrapText="1"/>
    </xf>
    <xf numFmtId="4" fontId="52" fillId="18" borderId="86" xfId="0" applyNumberFormat="1" applyFont="1" applyFill="1" applyBorder="1" applyAlignment="1">
      <alignment vertical="center" wrapText="1"/>
    </xf>
    <xf numFmtId="4" fontId="43" fillId="18" borderId="87" xfId="0" applyNumberFormat="1" applyFont="1" applyFill="1" applyBorder="1" applyAlignment="1">
      <alignment vertical="center" wrapText="1"/>
    </xf>
    <xf numFmtId="10" fontId="50" fillId="8" borderId="0" xfId="0" applyNumberFormat="1" applyFont="1" applyFill="1" applyAlignment="1">
      <alignment horizontal="center"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54" xfId="0" applyNumberFormat="1" applyFont="1" applyBorder="1" applyAlignment="1">
      <alignment vertical="center" wrapText="1"/>
    </xf>
    <xf numFmtId="4" fontId="4" fillId="0" borderId="55" xfId="0" applyNumberFormat="1" applyFont="1" applyBorder="1" applyAlignment="1">
      <alignment vertical="center" wrapText="1"/>
    </xf>
    <xf numFmtId="4" fontId="52" fillId="21" borderId="88" xfId="0" applyNumberFormat="1" applyFont="1" applyFill="1" applyBorder="1" applyAlignment="1">
      <alignment horizontal="center" vertical="center" wrapText="1"/>
    </xf>
    <xf numFmtId="4" fontId="52" fillId="21" borderId="89" xfId="0" applyNumberFormat="1" applyFont="1" applyFill="1" applyBorder="1" applyAlignment="1">
      <alignment horizontal="center" vertical="center" wrapText="1"/>
    </xf>
    <xf numFmtId="4" fontId="52" fillId="21" borderId="90" xfId="0" applyNumberFormat="1" applyFont="1" applyFill="1" applyBorder="1" applyAlignment="1">
      <alignment horizontal="center" vertical="center" wrapText="1"/>
    </xf>
    <xf numFmtId="10" fontId="58" fillId="8" borderId="0" xfId="0" applyNumberFormat="1" applyFont="1" applyFill="1" applyAlignment="1">
      <alignment horizontal="center" vertical="center" wrapText="1"/>
    </xf>
    <xf numFmtId="4" fontId="52" fillId="0" borderId="91" xfId="0" applyNumberFormat="1" applyFont="1" applyBorder="1" applyAlignment="1">
      <alignment horizontal="center" vertical="center" wrapText="1"/>
    </xf>
    <xf numFmtId="4" fontId="4" fillId="9" borderId="16" xfId="0" applyNumberFormat="1" applyFont="1" applyFill="1" applyBorder="1" applyAlignment="1">
      <alignment vertical="center" wrapText="1"/>
    </xf>
    <xf numFmtId="4" fontId="2" fillId="9" borderId="0" xfId="0" applyNumberFormat="1" applyFont="1" applyFill="1" applyAlignment="1">
      <alignment vertical="center" wrapText="1"/>
    </xf>
    <xf numFmtId="4" fontId="4" fillId="9" borderId="0" xfId="0" applyNumberFormat="1" applyFont="1" applyFill="1" applyAlignment="1">
      <alignment vertical="center" wrapText="1"/>
    </xf>
    <xf numFmtId="4" fontId="4" fillId="9" borderId="0" xfId="0" applyNumberFormat="1" applyFont="1" applyFill="1" applyAlignment="1">
      <alignment vertical="center"/>
    </xf>
    <xf numFmtId="4" fontId="52" fillId="21" borderId="92" xfId="0" applyNumberFormat="1" applyFont="1" applyFill="1" applyBorder="1" applyAlignment="1">
      <alignment horizontal="center" vertical="center" wrapText="1"/>
    </xf>
    <xf numFmtId="4" fontId="52" fillId="21" borderId="93" xfId="0" applyNumberFormat="1" applyFont="1" applyFill="1" applyBorder="1" applyAlignment="1">
      <alignment horizontal="center" vertical="center" wrapText="1"/>
    </xf>
    <xf numFmtId="4" fontId="0" fillId="21" borderId="94" xfId="0" applyNumberFormat="1" applyFill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52" fillId="0" borderId="0" xfId="0" applyNumberFormat="1" applyFont="1" applyAlignment="1">
      <alignment horizontal="center" vertical="center" wrapText="1"/>
    </xf>
    <xf numFmtId="4" fontId="0" fillId="8" borderId="0" xfId="0" applyNumberFormat="1" applyFill="1" applyAlignment="1">
      <alignment horizontal="right" vertical="center" wrapText="1"/>
    </xf>
    <xf numFmtId="4" fontId="60" fillId="23" borderId="98" xfId="0" applyNumberFormat="1" applyFont="1" applyFill="1" applyBorder="1" applyAlignment="1">
      <alignment horizontal="right" vertical="center" wrapText="1"/>
    </xf>
    <xf numFmtId="0" fontId="0" fillId="22" borderId="1" xfId="0" applyFill="1" applyBorder="1" applyAlignment="1">
      <alignment vertical="center"/>
    </xf>
    <xf numFmtId="3" fontId="0" fillId="22" borderId="1" xfId="0" applyNumberFormat="1" applyFill="1" applyBorder="1" applyAlignment="1">
      <alignment vertical="center"/>
    </xf>
    <xf numFmtId="0" fontId="0" fillId="22" borderId="99" xfId="0" applyFill="1" applyBorder="1" applyAlignment="1">
      <alignment vertical="center"/>
    </xf>
    <xf numFmtId="4" fontId="50" fillId="8" borderId="0" xfId="0" applyNumberFormat="1" applyFont="1" applyFill="1" applyAlignment="1">
      <alignment vertical="center" wrapText="1"/>
    </xf>
    <xf numFmtId="10" fontId="50" fillId="8" borderId="16" xfId="0" applyNumberFormat="1" applyFont="1" applyFill="1" applyBorder="1" applyAlignment="1">
      <alignment horizontal="center" vertical="center" wrapText="1"/>
    </xf>
    <xf numFmtId="4" fontId="60" fillId="23" borderId="100" xfId="0" applyNumberFormat="1" applyFont="1" applyFill="1" applyBorder="1" applyAlignment="1">
      <alignment horizontal="right" vertical="center" wrapText="1"/>
    </xf>
    <xf numFmtId="0" fontId="0" fillId="22" borderId="81" xfId="0" applyFill="1" applyBorder="1" applyAlignment="1">
      <alignment vertical="center"/>
    </xf>
    <xf numFmtId="3" fontId="0" fillId="22" borderId="81" xfId="0" applyNumberFormat="1" applyFill="1" applyBorder="1" applyAlignment="1">
      <alignment vertical="center"/>
    </xf>
    <xf numFmtId="0" fontId="0" fillId="22" borderId="82" xfId="0" applyFill="1" applyBorder="1" applyAlignment="1">
      <alignment vertical="center"/>
    </xf>
    <xf numFmtId="4" fontId="0" fillId="8" borderId="16" xfId="0" applyNumberFormat="1" applyFill="1" applyBorder="1" applyAlignment="1">
      <alignment vertical="center" wrapText="1"/>
    </xf>
    <xf numFmtId="4" fontId="0" fillId="8" borderId="0" xfId="0" applyNumberFormat="1" applyFill="1" applyAlignment="1">
      <alignment vertical="center" wrapText="1"/>
    </xf>
    <xf numFmtId="0" fontId="4" fillId="0" borderId="0" xfId="0" applyFont="1" applyAlignment="1">
      <alignment vertical="center" wrapText="1"/>
    </xf>
    <xf numFmtId="4" fontId="52" fillId="0" borderId="101" xfId="0" applyNumberFormat="1" applyFont="1" applyBorder="1" applyAlignment="1">
      <alignment horizontal="center" vertical="center" wrapText="1"/>
    </xf>
    <xf numFmtId="4" fontId="52" fillId="0" borderId="102" xfId="0" applyNumberFormat="1" applyFont="1" applyBorder="1" applyAlignment="1">
      <alignment horizontal="center" vertical="center" wrapText="1"/>
    </xf>
    <xf numFmtId="4" fontId="52" fillId="0" borderId="103" xfId="0" applyNumberFormat="1" applyFont="1" applyBorder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3" fontId="0" fillId="0" borderId="16" xfId="0" applyNumberFormat="1" applyBorder="1" applyAlignment="1">
      <alignment horizontal="center" vertical="center"/>
    </xf>
    <xf numFmtId="4" fontId="60" fillId="24" borderId="86" xfId="0" applyNumberFormat="1" applyFont="1" applyFill="1" applyBorder="1" applyAlignment="1">
      <alignment horizontal="right" vertical="center" wrapText="1"/>
    </xf>
    <xf numFmtId="0" fontId="0" fillId="2" borderId="87" xfId="0" applyFill="1" applyBorder="1" applyAlignment="1">
      <alignment vertical="center"/>
    </xf>
    <xf numFmtId="3" fontId="0" fillId="2" borderId="87" xfId="0" applyNumberFormat="1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/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/>
    <xf numFmtId="3" fontId="2" fillId="0" borderId="16" xfId="0" applyNumberFormat="1" applyFont="1" applyBorder="1" applyAlignment="1">
      <alignment horizontal="center" vertical="center"/>
    </xf>
    <xf numFmtId="4" fontId="3" fillId="8" borderId="0" xfId="0" applyNumberFormat="1" applyFont="1" applyFill="1" applyAlignment="1">
      <alignment vertical="center" wrapText="1"/>
    </xf>
    <xf numFmtId="4" fontId="60" fillId="26" borderId="100" xfId="0" applyNumberFormat="1" applyFont="1" applyFill="1" applyBorder="1" applyAlignment="1">
      <alignment horizontal="right" vertical="center" wrapText="1"/>
    </xf>
    <xf numFmtId="4" fontId="60" fillId="26" borderId="81" xfId="0" applyNumberFormat="1" applyFont="1" applyFill="1" applyBorder="1" applyAlignment="1">
      <alignment horizontal="right" vertical="center" wrapText="1"/>
    </xf>
    <xf numFmtId="3" fontId="0" fillId="25" borderId="81" xfId="0" applyNumberFormat="1" applyFill="1" applyBorder="1" applyAlignment="1">
      <alignment vertical="center"/>
    </xf>
    <xf numFmtId="4" fontId="0" fillId="25" borderId="82" xfId="0" applyNumberFormat="1" applyFill="1" applyBorder="1" applyAlignment="1">
      <alignment vertical="center" wrapText="1"/>
    </xf>
    <xf numFmtId="0" fontId="43" fillId="0" borderId="0" xfId="0" applyFont="1" applyAlignment="1">
      <alignment vertical="center"/>
    </xf>
    <xf numFmtId="3" fontId="61" fillId="0" borderId="0" xfId="0" applyNumberFormat="1" applyFont="1"/>
    <xf numFmtId="3" fontId="61" fillId="0" borderId="0" xfId="0" applyNumberFormat="1" applyFont="1" applyAlignment="1">
      <alignment horizontal="center" vertical="center"/>
    </xf>
    <xf numFmtId="3" fontId="43" fillId="0" borderId="0" xfId="0" applyNumberFormat="1" applyFont="1" applyAlignment="1">
      <alignment horizontal="center" vertical="center"/>
    </xf>
    <xf numFmtId="4" fontId="60" fillId="26" borderId="71" xfId="0" applyNumberFormat="1" applyFont="1" applyFill="1" applyBorder="1" applyAlignment="1">
      <alignment horizontal="right" vertical="center" wrapText="1"/>
    </xf>
    <xf numFmtId="4" fontId="60" fillId="26" borderId="80" xfId="0" applyNumberFormat="1" applyFont="1" applyFill="1" applyBorder="1" applyAlignment="1">
      <alignment horizontal="right" vertical="center" wrapText="1"/>
    </xf>
    <xf numFmtId="3" fontId="0" fillId="25" borderId="87" xfId="0" applyNumberFormat="1" applyFill="1" applyBorder="1" applyAlignment="1">
      <alignment vertical="center"/>
    </xf>
    <xf numFmtId="4" fontId="0" fillId="25" borderId="83" xfId="0" applyNumberFormat="1" applyFill="1" applyBorder="1" applyAlignment="1">
      <alignment vertical="center" wrapText="1"/>
    </xf>
    <xf numFmtId="0" fontId="4" fillId="8" borderId="0" xfId="0" applyFont="1" applyFill="1" applyAlignment="1">
      <alignment vertical="center" wrapText="1"/>
    </xf>
    <xf numFmtId="0" fontId="4" fillId="8" borderId="0" xfId="0" applyFont="1" applyFill="1" applyAlignment="1">
      <alignment vertical="center"/>
    </xf>
    <xf numFmtId="4" fontId="0" fillId="0" borderId="104" xfId="0" applyNumberFormat="1" applyBorder="1" applyAlignment="1">
      <alignment vertical="center" wrapText="1"/>
    </xf>
    <xf numFmtId="4" fontId="52" fillId="0" borderId="105" xfId="0" applyNumberFormat="1" applyFont="1" applyBorder="1" applyAlignment="1">
      <alignment horizontal="center" vertical="center" wrapText="1"/>
    </xf>
    <xf numFmtId="4" fontId="52" fillId="0" borderId="106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3" fontId="41" fillId="0" borderId="0" xfId="0" applyNumberFormat="1" applyFont="1" applyAlignment="1">
      <alignment vertical="center"/>
    </xf>
    <xf numFmtId="4" fontId="4" fillId="8" borderId="0" xfId="0" applyNumberFormat="1" applyFont="1" applyFill="1" applyAlignment="1">
      <alignment vertical="center"/>
    </xf>
    <xf numFmtId="0" fontId="0" fillId="8" borderId="0" xfId="0" applyFill="1" applyAlignment="1">
      <alignment vertical="center" wrapText="1"/>
    </xf>
    <xf numFmtId="0" fontId="0" fillId="8" borderId="0" xfId="0" applyFill="1" applyAlignment="1">
      <alignment vertical="center"/>
    </xf>
    <xf numFmtId="4" fontId="4" fillId="8" borderId="0" xfId="0" applyNumberFormat="1" applyFont="1" applyFill="1" applyAlignment="1">
      <alignment vertical="center" wrapText="1"/>
    </xf>
    <xf numFmtId="3" fontId="20" fillId="0" borderId="0" xfId="0" applyNumberFormat="1" applyFont="1" applyAlignment="1">
      <alignment horizontal="left" vertical="center" wrapText="1"/>
    </xf>
    <xf numFmtId="0" fontId="20" fillId="8" borderId="0" xfId="0" applyFont="1" applyFill="1" applyAlignment="1">
      <alignment vertical="center" wrapText="1"/>
    </xf>
    <xf numFmtId="0" fontId="57" fillId="0" borderId="0" xfId="0" applyFont="1" applyAlignment="1">
      <alignment vertical="center" wrapText="1"/>
    </xf>
    <xf numFmtId="10" fontId="69" fillId="0" borderId="1" xfId="2" applyNumberFormat="1" applyFont="1" applyBorder="1" applyAlignment="1">
      <alignment horizontal="center" vertical="center"/>
    </xf>
    <xf numFmtId="10" fontId="69" fillId="0" borderId="29" xfId="2" applyNumberFormat="1" applyFont="1" applyBorder="1" applyAlignment="1">
      <alignment horizontal="center" vertical="center"/>
    </xf>
    <xf numFmtId="3" fontId="10" fillId="0" borderId="29" xfId="0" applyNumberFormat="1" applyFont="1" applyBorder="1" applyAlignment="1">
      <alignment horizontal="right"/>
    </xf>
    <xf numFmtId="3" fontId="12" fillId="0" borderId="29" xfId="0" applyNumberFormat="1" applyFont="1" applyBorder="1" applyAlignment="1">
      <alignment horizontal="right"/>
    </xf>
    <xf numFmtId="3" fontId="14" fillId="0" borderId="29" xfId="0" applyNumberFormat="1" applyFont="1" applyBorder="1" applyAlignment="1">
      <alignment horizontal="right"/>
    </xf>
    <xf numFmtId="3" fontId="16" fillId="0" borderId="29" xfId="0" applyNumberFormat="1" applyFont="1" applyBorder="1" applyAlignment="1">
      <alignment horizontal="right"/>
    </xf>
    <xf numFmtId="3" fontId="17" fillId="0" borderId="29" xfId="0" applyNumberFormat="1" applyFont="1" applyBorder="1" applyAlignment="1">
      <alignment horizontal="right"/>
    </xf>
    <xf numFmtId="3" fontId="2" fillId="0" borderId="29" xfId="0" applyNumberFormat="1" applyFont="1" applyBorder="1" applyAlignment="1">
      <alignment horizontal="right"/>
    </xf>
    <xf numFmtId="10" fontId="68" fillId="0" borderId="33" xfId="2" applyNumberFormat="1" applyFont="1" applyBorder="1" applyAlignment="1">
      <alignment horizontal="center" vertical="center"/>
    </xf>
    <xf numFmtId="3" fontId="11" fillId="0" borderId="16" xfId="2" applyNumberFormat="1" applyFont="1" applyBorder="1" applyAlignment="1">
      <alignment horizontal="right" vertical="center"/>
    </xf>
    <xf numFmtId="3" fontId="11" fillId="0" borderId="16" xfId="0" applyNumberFormat="1" applyFont="1" applyBorder="1" applyAlignment="1">
      <alignment horizontal="right"/>
    </xf>
    <xf numFmtId="3" fontId="14" fillId="0" borderId="16" xfId="0" applyNumberFormat="1" applyFont="1" applyBorder="1" applyAlignment="1">
      <alignment horizontal="right"/>
    </xf>
    <xf numFmtId="3" fontId="42" fillId="0" borderId="16" xfId="0" applyNumberFormat="1" applyFont="1" applyBorder="1" applyAlignment="1">
      <alignment horizontal="right"/>
    </xf>
    <xf numFmtId="3" fontId="0" fillId="0" borderId="16" xfId="0" applyNumberFormat="1" applyBorder="1"/>
    <xf numFmtId="3" fontId="70" fillId="0" borderId="16" xfId="2" applyNumberFormat="1" applyFont="1" applyBorder="1" applyAlignment="1">
      <alignment horizontal="right" vertical="center"/>
    </xf>
    <xf numFmtId="0" fontId="0" fillId="0" borderId="32" xfId="0" applyBorder="1"/>
    <xf numFmtId="0" fontId="63" fillId="27" borderId="16" xfId="0" applyFont="1" applyFill="1" applyBorder="1" applyAlignment="1">
      <alignment horizontal="center"/>
    </xf>
    <xf numFmtId="3" fontId="10" fillId="0" borderId="16" xfId="0" applyNumberFormat="1" applyFont="1" applyBorder="1" applyAlignment="1">
      <alignment horizontal="right"/>
    </xf>
    <xf numFmtId="3" fontId="11" fillId="0" borderId="32" xfId="2" applyNumberFormat="1" applyFont="1" applyBorder="1" applyAlignment="1">
      <alignment horizontal="right" vertical="center"/>
    </xf>
    <xf numFmtId="10" fontId="15" fillId="0" borderId="0" xfId="2" applyNumberFormat="1" applyFont="1" applyBorder="1" applyAlignment="1">
      <alignment horizontal="center" vertical="center"/>
    </xf>
    <xf numFmtId="3" fontId="15" fillId="0" borderId="0" xfId="2" applyNumberFormat="1" applyFont="1" applyBorder="1" applyAlignment="1">
      <alignment horizontal="right" vertical="center" wrapText="1"/>
    </xf>
    <xf numFmtId="3" fontId="17" fillId="0" borderId="0" xfId="0" applyNumberFormat="1" applyFont="1" applyBorder="1" applyAlignment="1">
      <alignment horizontal="right"/>
    </xf>
    <xf numFmtId="3" fontId="70" fillId="0" borderId="0" xfId="2" applyNumberFormat="1" applyFont="1" applyBorder="1" applyAlignment="1">
      <alignment horizontal="right" vertical="center"/>
    </xf>
    <xf numFmtId="3" fontId="42" fillId="0" borderId="0" xfId="0" applyNumberFormat="1" applyFont="1" applyBorder="1" applyAlignment="1">
      <alignment horizontal="right"/>
    </xf>
    <xf numFmtId="0" fontId="0" fillId="0" borderId="0" xfId="0" applyBorder="1"/>
    <xf numFmtId="3" fontId="0" fillId="0" borderId="0" xfId="0" applyNumberFormat="1" applyBorder="1"/>
    <xf numFmtId="0" fontId="71" fillId="0" borderId="0" xfId="0" applyFont="1" applyAlignment="1">
      <alignment horizontal="left" wrapText="1"/>
    </xf>
    <xf numFmtId="0" fontId="0" fillId="0" borderId="5" xfId="0" applyBorder="1" applyAlignment="1">
      <alignment horizontal="left"/>
    </xf>
    <xf numFmtId="10" fontId="69" fillId="3" borderId="33" xfId="2" applyNumberFormat="1" applyFont="1" applyFill="1" applyBorder="1" applyAlignment="1">
      <alignment horizontal="center" vertical="center"/>
    </xf>
    <xf numFmtId="10" fontId="69" fillId="4" borderId="33" xfId="2" applyNumberFormat="1" applyFont="1" applyFill="1" applyBorder="1" applyAlignment="1">
      <alignment horizontal="center" vertical="center"/>
    </xf>
    <xf numFmtId="10" fontId="69" fillId="2" borderId="33" xfId="2" applyNumberFormat="1" applyFont="1" applyFill="1" applyBorder="1" applyAlignment="1">
      <alignment horizontal="center" vertical="center"/>
    </xf>
    <xf numFmtId="10" fontId="69" fillId="6" borderId="107" xfId="2" applyNumberFormat="1" applyFont="1" applyFill="1" applyBorder="1" applyAlignment="1">
      <alignment horizontal="center" vertical="center"/>
    </xf>
    <xf numFmtId="0" fontId="65" fillId="0" borderId="0" xfId="0" applyFont="1"/>
    <xf numFmtId="3" fontId="0" fillId="4" borderId="29" xfId="0" applyNumberFormat="1" applyFill="1" applyBorder="1" applyAlignment="1" applyProtection="1">
      <alignment horizontal="center"/>
      <protection locked="0"/>
    </xf>
    <xf numFmtId="0" fontId="0" fillId="3" borderId="33" xfId="0" applyFill="1" applyBorder="1"/>
    <xf numFmtId="3" fontId="1" fillId="0" borderId="29" xfId="0" applyNumberFormat="1" applyFont="1" applyBorder="1" applyAlignment="1">
      <alignment horizontal="right"/>
    </xf>
    <xf numFmtId="0" fontId="1" fillId="5" borderId="0" xfId="3"/>
    <xf numFmtId="3" fontId="1" fillId="5" borderId="0" xfId="3" applyNumberFormat="1"/>
    <xf numFmtId="0" fontId="71" fillId="3" borderId="31" xfId="3" applyFont="1" applyFill="1" applyBorder="1" applyAlignment="1" applyProtection="1">
      <alignment vertical="center" wrapText="1"/>
      <protection locked="0"/>
    </xf>
    <xf numFmtId="0" fontId="71" fillId="3" borderId="16" xfId="3" applyFont="1" applyFill="1" applyBorder="1" applyAlignment="1" applyProtection="1">
      <alignment vertical="center"/>
      <protection locked="0"/>
    </xf>
    <xf numFmtId="0" fontId="71" fillId="3" borderId="16" xfId="3" applyFont="1" applyFill="1" applyBorder="1" applyProtection="1">
      <protection locked="0"/>
    </xf>
    <xf numFmtId="3" fontId="1" fillId="3" borderId="1" xfId="3" applyNumberFormat="1" applyFill="1" applyBorder="1" applyProtection="1">
      <protection locked="0"/>
    </xf>
    <xf numFmtId="0" fontId="1" fillId="3" borderId="1" xfId="3" applyFill="1" applyBorder="1"/>
    <xf numFmtId="0" fontId="71" fillId="3" borderId="16" xfId="3" applyFont="1" applyFill="1" applyBorder="1" applyAlignment="1" applyProtection="1">
      <alignment wrapText="1"/>
      <protection locked="0"/>
    </xf>
    <xf numFmtId="3" fontId="71" fillId="3" borderId="1" xfId="3" applyNumberFormat="1" applyFont="1" applyFill="1" applyBorder="1" applyProtection="1">
      <protection locked="0"/>
    </xf>
    <xf numFmtId="0" fontId="71" fillId="3" borderId="2" xfId="3" applyFont="1" applyFill="1" applyBorder="1" applyAlignment="1" applyProtection="1">
      <alignment vertical="center" wrapText="1"/>
      <protection locked="0"/>
    </xf>
    <xf numFmtId="0" fontId="71" fillId="3" borderId="3" xfId="3" applyFont="1" applyFill="1" applyBorder="1" applyAlignment="1" applyProtection="1">
      <alignment vertical="center"/>
      <protection locked="0"/>
    </xf>
    <xf numFmtId="0" fontId="71" fillId="3" borderId="3" xfId="3" applyFont="1" applyFill="1" applyBorder="1" applyAlignment="1" applyProtection="1">
      <alignment wrapText="1"/>
      <protection locked="0"/>
    </xf>
    <xf numFmtId="0" fontId="71" fillId="3" borderId="1" xfId="3" applyFont="1" applyFill="1" applyBorder="1" applyAlignment="1">
      <alignment vertical="center"/>
    </xf>
    <xf numFmtId="0" fontId="71" fillId="3" borderId="33" xfId="3" applyFont="1" applyFill="1" applyBorder="1" applyAlignment="1">
      <alignment vertical="center"/>
    </xf>
    <xf numFmtId="0" fontId="71" fillId="3" borderId="33" xfId="3" applyFont="1" applyFill="1" applyBorder="1" applyAlignment="1">
      <alignment wrapText="1"/>
    </xf>
    <xf numFmtId="0" fontId="71" fillId="3" borderId="33" xfId="3" applyFont="1" applyFill="1" applyBorder="1" applyAlignment="1" applyProtection="1">
      <alignment wrapText="1"/>
      <protection locked="0"/>
    </xf>
    <xf numFmtId="0" fontId="71" fillId="3" borderId="3" xfId="3" applyFont="1" applyFill="1" applyBorder="1" applyAlignment="1">
      <alignment vertical="center"/>
    </xf>
    <xf numFmtId="0" fontId="71" fillId="3" borderId="1" xfId="3" applyFont="1" applyFill="1" applyBorder="1" applyAlignment="1">
      <alignment wrapText="1"/>
    </xf>
    <xf numFmtId="0" fontId="71" fillId="3" borderId="1" xfId="3" applyFont="1" applyFill="1" applyBorder="1" applyAlignment="1">
      <alignment horizontal="left"/>
    </xf>
    <xf numFmtId="0" fontId="71" fillId="4" borderId="1" xfId="3" applyFont="1" applyFill="1" applyBorder="1" applyAlignment="1">
      <alignment horizontal="center" vertical="center"/>
    </xf>
    <xf numFmtId="0" fontId="71" fillId="4" borderId="1" xfId="3" applyFont="1" applyFill="1" applyBorder="1" applyAlignment="1">
      <alignment horizontal="left" vertical="center"/>
    </xf>
    <xf numFmtId="0" fontId="71" fillId="4" borderId="1" xfId="3" applyFont="1" applyFill="1" applyBorder="1" applyAlignment="1">
      <alignment horizontal="left" wrapText="1"/>
    </xf>
    <xf numFmtId="0" fontId="71" fillId="4" borderId="1" xfId="3" applyFont="1" applyFill="1" applyBorder="1" applyAlignment="1">
      <alignment horizontal="left"/>
    </xf>
    <xf numFmtId="10" fontId="71" fillId="4" borderId="1" xfId="4" applyNumberFormat="1" applyFont="1" applyFill="1" applyBorder="1" applyAlignment="1">
      <alignment horizontal="left"/>
    </xf>
    <xf numFmtId="0" fontId="71" fillId="4" borderId="1" xfId="3" applyFont="1" applyFill="1" applyBorder="1" applyAlignment="1">
      <alignment vertical="center"/>
    </xf>
    <xf numFmtId="0" fontId="71" fillId="4" borderId="1" xfId="3" applyFont="1" applyFill="1" applyBorder="1" applyAlignment="1">
      <alignment wrapText="1"/>
    </xf>
    <xf numFmtId="0" fontId="71" fillId="4" borderId="1" xfId="3" applyFont="1" applyFill="1" applyBorder="1" applyAlignment="1">
      <alignment horizontal="right"/>
    </xf>
    <xf numFmtId="0" fontId="71" fillId="4" borderId="1" xfId="3" applyFont="1" applyFill="1" applyBorder="1" applyAlignment="1">
      <alignment horizontal="center"/>
    </xf>
    <xf numFmtId="10" fontId="71" fillId="4" borderId="33" xfId="4" applyNumberFormat="1" applyFont="1" applyFill="1" applyBorder="1" applyAlignment="1">
      <alignment horizontal="left"/>
    </xf>
    <xf numFmtId="0" fontId="71" fillId="4" borderId="1" xfId="3" applyFont="1" applyFill="1" applyBorder="1" applyAlignment="1" applyProtection="1">
      <alignment wrapText="1"/>
      <protection locked="0"/>
    </xf>
    <xf numFmtId="0" fontId="71" fillId="2" borderId="1" xfId="3" applyFont="1" applyFill="1" applyBorder="1" applyAlignment="1">
      <alignment vertical="center"/>
    </xf>
    <xf numFmtId="0" fontId="71" fillId="2" borderId="1" xfId="3" applyFont="1" applyFill="1" applyBorder="1" applyAlignment="1">
      <alignment horizontal="left" wrapText="1"/>
    </xf>
    <xf numFmtId="0" fontId="71" fillId="2" borderId="1" xfId="3" applyFont="1" applyFill="1" applyBorder="1" applyAlignment="1">
      <alignment horizontal="right"/>
    </xf>
    <xf numFmtId="10" fontId="71" fillId="2" borderId="1" xfId="4" applyNumberFormat="1" applyFont="1" applyFill="1" applyBorder="1" applyAlignment="1">
      <alignment horizontal="left"/>
    </xf>
    <xf numFmtId="0" fontId="71" fillId="2" borderId="1" xfId="3" applyFont="1" applyFill="1" applyBorder="1" applyAlignment="1">
      <alignment horizontal="left"/>
    </xf>
    <xf numFmtId="0" fontId="71" fillId="5" borderId="0" xfId="3" applyFont="1" applyAlignment="1">
      <alignment vertical="center"/>
    </xf>
    <xf numFmtId="0" fontId="71" fillId="5" borderId="0" xfId="3" applyFont="1" applyAlignment="1">
      <alignment wrapText="1"/>
    </xf>
    <xf numFmtId="0" fontId="71" fillId="5" borderId="0" xfId="3" applyFont="1" applyAlignment="1">
      <alignment horizontal="right"/>
    </xf>
    <xf numFmtId="10" fontId="71" fillId="5" borderId="0" xfId="4" applyNumberFormat="1" applyFont="1" applyAlignment="1">
      <alignment horizontal="right"/>
    </xf>
    <xf numFmtId="3" fontId="71" fillId="5" borderId="0" xfId="3" applyNumberFormat="1" applyFont="1"/>
    <xf numFmtId="0" fontId="71" fillId="5" borderId="6" xfId="3" applyFont="1" applyBorder="1" applyAlignment="1">
      <alignment vertical="center"/>
    </xf>
    <xf numFmtId="10" fontId="69" fillId="5" borderId="1" xfId="4" applyNumberFormat="1" applyFont="1" applyBorder="1" applyAlignment="1">
      <alignment horizontal="center" vertical="center"/>
    </xf>
    <xf numFmtId="10" fontId="72" fillId="5" borderId="1" xfId="4" applyNumberFormat="1" applyFont="1" applyBorder="1" applyAlignment="1">
      <alignment horizontal="center" vertical="center"/>
    </xf>
    <xf numFmtId="3" fontId="72" fillId="5" borderId="1" xfId="4" applyNumberFormat="1" applyFont="1" applyBorder="1" applyAlignment="1">
      <alignment horizontal="right" vertical="center" wrapText="1"/>
    </xf>
    <xf numFmtId="3" fontId="73" fillId="5" borderId="1" xfId="3" applyNumberFormat="1" applyFont="1" applyBorder="1" applyAlignment="1">
      <alignment horizontal="right"/>
    </xf>
    <xf numFmtId="10" fontId="74" fillId="5" borderId="1" xfId="4" applyNumberFormat="1" applyFont="1" applyBorder="1" applyAlignment="1">
      <alignment horizontal="center" vertical="center"/>
    </xf>
    <xf numFmtId="3" fontId="74" fillId="5" borderId="1" xfId="4" applyNumberFormat="1" applyFont="1" applyBorder="1" applyAlignment="1">
      <alignment horizontal="right" vertical="center" wrapText="1"/>
    </xf>
    <xf numFmtId="3" fontId="75" fillId="5" borderId="1" xfId="3" applyNumberFormat="1" applyFont="1" applyBorder="1" applyAlignment="1">
      <alignment horizontal="right"/>
    </xf>
    <xf numFmtId="10" fontId="68" fillId="5" borderId="1" xfId="4" applyNumberFormat="1" applyFont="1" applyBorder="1" applyAlignment="1">
      <alignment horizontal="center" vertical="center"/>
    </xf>
    <xf numFmtId="3" fontId="68" fillId="5" borderId="1" xfId="4" applyNumberFormat="1" applyFont="1" applyBorder="1" applyAlignment="1">
      <alignment horizontal="right" vertical="center" wrapText="1"/>
    </xf>
    <xf numFmtId="3" fontId="76" fillId="5" borderId="1" xfId="3" applyNumberFormat="1" applyFont="1" applyBorder="1" applyAlignment="1">
      <alignment horizontal="right"/>
    </xf>
    <xf numFmtId="10" fontId="70" fillId="5" borderId="1" xfId="4" applyNumberFormat="1" applyFont="1" applyBorder="1" applyAlignment="1">
      <alignment horizontal="center" vertical="center"/>
    </xf>
    <xf numFmtId="3" fontId="70" fillId="5" borderId="1" xfId="4" applyNumberFormat="1" applyFont="1" applyBorder="1" applyAlignment="1">
      <alignment horizontal="right" vertical="center" wrapText="1"/>
    </xf>
    <xf numFmtId="3" fontId="77" fillId="5" borderId="1" xfId="3" applyNumberFormat="1" applyFont="1" applyBorder="1" applyAlignment="1">
      <alignment horizontal="right"/>
    </xf>
    <xf numFmtId="3" fontId="78" fillId="5" borderId="1" xfId="3" applyNumberFormat="1" applyFont="1" applyBorder="1" applyAlignment="1">
      <alignment horizontal="right"/>
    </xf>
    <xf numFmtId="3" fontId="65" fillId="5" borderId="1" xfId="3" applyNumberFormat="1" applyFont="1" applyBorder="1" applyAlignment="1">
      <alignment horizontal="right"/>
    </xf>
    <xf numFmtId="3" fontId="1" fillId="4" borderId="29" xfId="3" applyNumberFormat="1" applyFill="1" applyBorder="1" applyAlignment="1" applyProtection="1">
      <alignment horizontal="right"/>
      <protection locked="0"/>
    </xf>
    <xf numFmtId="3" fontId="1" fillId="2" borderId="29" xfId="3" applyNumberFormat="1" applyFill="1" applyBorder="1" applyAlignment="1" applyProtection="1">
      <alignment horizontal="right"/>
      <protection locked="0"/>
    </xf>
    <xf numFmtId="0" fontId="1" fillId="2" borderId="29" xfId="3" applyFill="1" applyBorder="1"/>
    <xf numFmtId="0" fontId="1" fillId="3" borderId="33" xfId="3" applyFill="1" applyBorder="1"/>
    <xf numFmtId="10" fontId="71" fillId="4" borderId="16" xfId="2" applyNumberFormat="1" applyFont="1" applyFill="1" applyBorder="1" applyAlignment="1">
      <alignment horizontal="left" vertical="center"/>
    </xf>
    <xf numFmtId="10" fontId="71" fillId="2" borderId="16" xfId="2" applyNumberFormat="1" applyFont="1" applyFill="1" applyBorder="1" applyAlignment="1">
      <alignment horizontal="left" vertical="center"/>
    </xf>
    <xf numFmtId="10" fontId="67" fillId="0" borderId="0" xfId="2" applyNumberFormat="1" applyFont="1" applyAlignment="1"/>
    <xf numFmtId="0" fontId="67" fillId="5" borderId="5" xfId="3" applyFont="1" applyBorder="1" applyAlignment="1">
      <alignment horizontal="left" wrapText="1"/>
    </xf>
    <xf numFmtId="0" fontId="65" fillId="5" borderId="5" xfId="3" applyFont="1" applyBorder="1" applyAlignment="1">
      <alignment horizontal="left"/>
    </xf>
    <xf numFmtId="0" fontId="66" fillId="5" borderId="0" xfId="0" applyFont="1" applyFill="1" applyBorder="1"/>
    <xf numFmtId="0" fontId="79" fillId="28" borderId="16" xfId="0" applyFont="1" applyFill="1" applyBorder="1"/>
    <xf numFmtId="0" fontId="66" fillId="5" borderId="16" xfId="0" applyFont="1" applyFill="1" applyBorder="1"/>
    <xf numFmtId="3" fontId="66" fillId="5" borderId="16" xfId="0" applyNumberFormat="1" applyFont="1" applyFill="1" applyBorder="1"/>
    <xf numFmtId="0" fontId="80" fillId="5" borderId="16" xfId="0" applyFont="1" applyFill="1" applyBorder="1" applyAlignment="1">
      <alignment horizontal="right"/>
    </xf>
    <xf numFmtId="3" fontId="80" fillId="5" borderId="16" xfId="0" applyNumberFormat="1" applyFont="1" applyFill="1" applyBorder="1"/>
    <xf numFmtId="3" fontId="66" fillId="5" borderId="16" xfId="0" applyNumberFormat="1" applyFont="1" applyFill="1" applyBorder="1" applyAlignment="1">
      <alignment horizontal="right"/>
    </xf>
    <xf numFmtId="10" fontId="66" fillId="5" borderId="16" xfId="4" applyNumberFormat="1" applyFont="1" applyFill="1" applyBorder="1"/>
    <xf numFmtId="0" fontId="66" fillId="5" borderId="16" xfId="0" applyFont="1" applyFill="1" applyBorder="1" applyAlignment="1">
      <alignment horizontal="right"/>
    </xf>
    <xf numFmtId="10" fontId="66" fillId="5" borderId="0" xfId="4" applyNumberFormat="1" applyFont="1" applyFill="1" applyBorder="1"/>
    <xf numFmtId="0" fontId="66" fillId="5" borderId="0" xfId="0" applyFont="1" applyFill="1" applyBorder="1" applyAlignment="1">
      <alignment horizontal="right"/>
    </xf>
    <xf numFmtId="0" fontId="79" fillId="29" borderId="16" xfId="0" applyFont="1" applyFill="1" applyBorder="1"/>
    <xf numFmtId="0" fontId="79" fillId="30" borderId="16" xfId="0" applyFont="1" applyFill="1" applyBorder="1"/>
    <xf numFmtId="0" fontId="79" fillId="31" borderId="16" xfId="0" applyFont="1" applyFill="1" applyBorder="1"/>
    <xf numFmtId="0" fontId="79" fillId="32" borderId="16" xfId="0" applyFont="1" applyFill="1" applyBorder="1"/>
    <xf numFmtId="0" fontId="65" fillId="5" borderId="0" xfId="3" applyFont="1"/>
    <xf numFmtId="0" fontId="63" fillId="33" borderId="108" xfId="3" applyFont="1" applyFill="1" applyBorder="1" applyAlignment="1">
      <alignment vertical="center" wrapText="1"/>
    </xf>
    <xf numFmtId="0" fontId="63" fillId="33" borderId="19" xfId="3" applyFont="1" applyFill="1" applyBorder="1" applyAlignment="1">
      <alignment vertical="center" wrapText="1"/>
    </xf>
    <xf numFmtId="0" fontId="63" fillId="33" borderId="19" xfId="3" applyFont="1" applyFill="1" applyBorder="1" applyAlignment="1">
      <alignment horizontal="center" vertical="center" wrapText="1"/>
    </xf>
    <xf numFmtId="0" fontId="63" fillId="33" borderId="109" xfId="3" applyFont="1" applyFill="1" applyBorder="1" applyAlignment="1">
      <alignment horizontal="center" vertical="center" wrapText="1"/>
    </xf>
    <xf numFmtId="0" fontId="1" fillId="17" borderId="31" xfId="3" applyFill="1" applyBorder="1" applyAlignment="1">
      <alignment vertical="center" wrapText="1"/>
    </xf>
    <xf numFmtId="0" fontId="1" fillId="17" borderId="16" xfId="3" applyFill="1" applyBorder="1" applyAlignment="1">
      <alignment horizontal="justify" vertical="center" wrapText="1"/>
    </xf>
    <xf numFmtId="165" fontId="71" fillId="34" borderId="16" xfId="3" applyNumberFormat="1" applyFont="1" applyFill="1" applyBorder="1" applyAlignment="1">
      <alignment vertical="center" wrapText="1"/>
    </xf>
    <xf numFmtId="165" fontId="67" fillId="17" borderId="32" xfId="3" applyNumberFormat="1" applyFont="1" applyFill="1" applyBorder="1" applyAlignment="1">
      <alignment vertical="center" wrapText="1"/>
    </xf>
    <xf numFmtId="165" fontId="71" fillId="8" borderId="16" xfId="3" applyNumberFormat="1" applyFont="1" applyFill="1" applyBorder="1" applyAlignment="1">
      <alignment vertical="center" wrapText="1"/>
    </xf>
    <xf numFmtId="0" fontId="65" fillId="17" borderId="2" xfId="3" applyFont="1" applyFill="1" applyBorder="1" applyAlignment="1">
      <alignment horizontal="justify" vertical="center" wrapText="1"/>
    </xf>
    <xf numFmtId="0" fontId="65" fillId="17" borderId="3" xfId="3" applyFont="1" applyFill="1" applyBorder="1" applyAlignment="1">
      <alignment horizontal="justify" vertical="center" wrapText="1"/>
    </xf>
    <xf numFmtId="165" fontId="67" fillId="17" borderId="3" xfId="3" applyNumberFormat="1" applyFont="1" applyFill="1" applyBorder="1" applyAlignment="1">
      <alignment vertical="center" wrapText="1"/>
    </xf>
    <xf numFmtId="165" fontId="67" fillId="17" borderId="4" xfId="3" applyNumberFormat="1" applyFont="1" applyFill="1" applyBorder="1" applyAlignment="1">
      <alignment vertical="center" wrapText="1"/>
    </xf>
    <xf numFmtId="0" fontId="65" fillId="35" borderId="16" xfId="3" applyFont="1" applyFill="1" applyBorder="1" applyAlignment="1">
      <alignment vertical="center"/>
    </xf>
    <xf numFmtId="0" fontId="65" fillId="35" borderId="16" xfId="3" applyFont="1" applyFill="1" applyBorder="1" applyAlignment="1">
      <alignment horizontal="center" vertical="center" wrapText="1"/>
    </xf>
    <xf numFmtId="0" fontId="65" fillId="35" borderId="16" xfId="3" applyFont="1" applyFill="1" applyBorder="1"/>
    <xf numFmtId="3" fontId="65" fillId="35" borderId="16" xfId="3" applyNumberFormat="1" applyFont="1" applyFill="1" applyBorder="1" applyAlignment="1">
      <alignment horizontal="right"/>
    </xf>
    <xf numFmtId="3" fontId="65" fillId="35" borderId="16" xfId="3" applyNumberFormat="1" applyFont="1" applyFill="1" applyBorder="1"/>
    <xf numFmtId="0" fontId="78" fillId="35" borderId="16" xfId="3" applyFont="1" applyFill="1" applyBorder="1" applyAlignment="1">
      <alignment horizontal="right"/>
    </xf>
    <xf numFmtId="3" fontId="78" fillId="35" borderId="16" xfId="3" applyNumberFormat="1" applyFont="1" applyFill="1" applyBorder="1" applyAlignment="1">
      <alignment horizontal="right"/>
    </xf>
    <xf numFmtId="3" fontId="78" fillId="35" borderId="16" xfId="3" applyNumberFormat="1" applyFont="1" applyFill="1" applyBorder="1"/>
    <xf numFmtId="3" fontId="1" fillId="35" borderId="16" xfId="3" applyNumberFormat="1" applyFill="1" applyBorder="1"/>
    <xf numFmtId="3" fontId="1" fillId="35" borderId="16" xfId="3" applyNumberFormat="1" applyFill="1" applyBorder="1" applyAlignment="1">
      <alignment horizontal="right"/>
    </xf>
    <xf numFmtId="166" fontId="1" fillId="35" borderId="16" xfId="3" applyNumberFormat="1" applyFill="1" applyBorder="1"/>
    <xf numFmtId="0" fontId="65" fillId="36" borderId="108" xfId="3" applyFont="1" applyFill="1" applyBorder="1" applyAlignment="1">
      <alignment vertical="center" wrapText="1"/>
    </xf>
    <xf numFmtId="0" fontId="65" fillId="36" borderId="19" xfId="3" applyFont="1" applyFill="1" applyBorder="1" applyAlignment="1">
      <alignment vertical="center" wrapText="1"/>
    </xf>
    <xf numFmtId="0" fontId="65" fillId="36" borderId="109" xfId="3" applyFont="1" applyFill="1" applyBorder="1" applyAlignment="1">
      <alignment vertical="center" wrapText="1"/>
    </xf>
    <xf numFmtId="0" fontId="65" fillId="35" borderId="31" xfId="3" applyFont="1" applyFill="1" applyBorder="1"/>
    <xf numFmtId="3" fontId="65" fillId="35" borderId="16" xfId="3" applyNumberFormat="1" applyFont="1" applyFill="1" applyBorder="1" applyAlignment="1">
      <alignment vertical="center" wrapText="1"/>
    </xf>
    <xf numFmtId="3" fontId="67" fillId="35" borderId="32" xfId="3" applyNumberFormat="1" applyFont="1" applyFill="1" applyBorder="1" applyAlignment="1">
      <alignment vertical="center" wrapText="1"/>
    </xf>
    <xf numFmtId="0" fontId="78" fillId="35" borderId="31" xfId="3" applyFont="1" applyFill="1" applyBorder="1" applyAlignment="1">
      <alignment horizontal="right"/>
    </xf>
    <xf numFmtId="3" fontId="78" fillId="35" borderId="16" xfId="3" applyNumberFormat="1" applyFont="1" applyFill="1" applyBorder="1" applyAlignment="1">
      <alignment vertical="center" wrapText="1"/>
    </xf>
    <xf numFmtId="3" fontId="81" fillId="35" borderId="32" xfId="3" applyNumberFormat="1" applyFont="1" applyFill="1" applyBorder="1" applyAlignment="1">
      <alignment vertical="center" wrapText="1"/>
    </xf>
    <xf numFmtId="3" fontId="67" fillId="35" borderId="16" xfId="3" applyNumberFormat="1" applyFont="1" applyFill="1" applyBorder="1" applyAlignment="1">
      <alignment vertical="center" wrapText="1"/>
    </xf>
    <xf numFmtId="0" fontId="65" fillId="35" borderId="31" xfId="3" applyFont="1" applyFill="1" applyBorder="1" applyAlignment="1">
      <alignment horizontal="justify" vertical="center" wrapText="1"/>
    </xf>
    <xf numFmtId="0" fontId="63" fillId="33" borderId="16" xfId="3" applyFont="1" applyFill="1" applyBorder="1" applyAlignment="1">
      <alignment wrapText="1"/>
    </xf>
    <xf numFmtId="0" fontId="63" fillId="5" borderId="0" xfId="3" applyFont="1" applyAlignment="1">
      <alignment wrapText="1"/>
    </xf>
    <xf numFmtId="0" fontId="65" fillId="17" borderId="16" xfId="3" applyFont="1" applyFill="1" applyBorder="1" applyAlignment="1">
      <alignment vertical="center" wrapText="1"/>
    </xf>
    <xf numFmtId="0" fontId="1" fillId="17" borderId="16" xfId="3" applyFill="1" applyBorder="1"/>
    <xf numFmtId="3" fontId="1" fillId="17" borderId="16" xfId="3" applyNumberFormat="1" applyFill="1" applyBorder="1"/>
    <xf numFmtId="4" fontId="1" fillId="17" borderId="16" xfId="3" applyNumberFormat="1" applyFill="1" applyBorder="1"/>
    <xf numFmtId="167" fontId="1" fillId="5" borderId="0" xfId="3" applyNumberFormat="1"/>
    <xf numFmtId="3" fontId="1" fillId="37" borderId="16" xfId="5" applyNumberFormat="1" applyFill="1" applyBorder="1"/>
    <xf numFmtId="167" fontId="1" fillId="17" borderId="16" xfId="5" applyNumberFormat="1" applyFill="1" applyBorder="1"/>
    <xf numFmtId="0" fontId="63" fillId="33" borderId="108" xfId="3" applyFont="1" applyFill="1" applyBorder="1" applyAlignment="1">
      <alignment vertical="center"/>
    </xf>
    <xf numFmtId="0" fontId="63" fillId="33" borderId="16" xfId="3" applyFont="1" applyFill="1" applyBorder="1" applyAlignment="1">
      <alignment vertical="center" wrapText="1"/>
    </xf>
    <xf numFmtId="0" fontId="63" fillId="5" borderId="0" xfId="3" applyFont="1" applyAlignment="1">
      <alignment vertical="center" wrapText="1"/>
    </xf>
    <xf numFmtId="0" fontId="1" fillId="17" borderId="31" xfId="3" applyFill="1" applyBorder="1" applyAlignment="1">
      <alignment vertical="center"/>
    </xf>
    <xf numFmtId="167" fontId="1" fillId="5" borderId="0" xfId="5" applyNumberFormat="1"/>
    <xf numFmtId="0" fontId="65" fillId="17" borderId="2" xfId="3" applyFont="1" applyFill="1" applyBorder="1" applyAlignment="1">
      <alignment vertical="center"/>
    </xf>
    <xf numFmtId="0" fontId="65" fillId="17" borderId="3" xfId="3" applyFont="1" applyFill="1" applyBorder="1"/>
    <xf numFmtId="3" fontId="65" fillId="17" borderId="3" xfId="3" applyNumberFormat="1" applyFont="1" applyFill="1" applyBorder="1"/>
    <xf numFmtId="3" fontId="65" fillId="17" borderId="16" xfId="3" applyNumberFormat="1" applyFont="1" applyFill="1" applyBorder="1"/>
    <xf numFmtId="167" fontId="65" fillId="5" borderId="0" xfId="5" applyNumberFormat="1" applyFont="1"/>
    <xf numFmtId="168" fontId="1" fillId="5" borderId="0" xfId="3" applyNumberFormat="1"/>
    <xf numFmtId="169" fontId="1" fillId="5" borderId="0" xfId="3" applyNumberFormat="1"/>
    <xf numFmtId="165" fontId="1" fillId="5" borderId="0" xfId="3" applyNumberFormat="1"/>
    <xf numFmtId="10" fontId="71" fillId="4" borderId="33" xfId="2" applyNumberFormat="1" applyFont="1" applyFill="1" applyBorder="1" applyAlignment="1">
      <alignment horizontal="left" vertical="center"/>
    </xf>
    <xf numFmtId="10" fontId="71" fillId="2" borderId="33" xfId="2" applyNumberFormat="1" applyFont="1" applyFill="1" applyBorder="1" applyAlignment="1">
      <alignment horizontal="left" vertical="center"/>
    </xf>
    <xf numFmtId="10" fontId="71" fillId="6" borderId="107" xfId="2" applyNumberFormat="1" applyFont="1" applyFill="1" applyBorder="1" applyAlignment="1">
      <alignment horizontal="left" vertical="center"/>
    </xf>
    <xf numFmtId="0" fontId="64" fillId="0" borderId="0" xfId="0" applyFont="1"/>
    <xf numFmtId="3" fontId="0" fillId="6" borderId="29" xfId="0" applyNumberFormat="1" applyFill="1" applyBorder="1" applyProtection="1">
      <protection locked="0"/>
    </xf>
    <xf numFmtId="10" fontId="71" fillId="6" borderId="16" xfId="2" applyNumberFormat="1" applyFont="1" applyFill="1" applyBorder="1" applyAlignment="1">
      <alignment horizontal="left" vertical="center"/>
    </xf>
    <xf numFmtId="3" fontId="64" fillId="5" borderId="0" xfId="3" applyNumberFormat="1" applyFont="1"/>
    <xf numFmtId="0" fontId="65" fillId="38" borderId="16" xfId="3" applyFont="1" applyFill="1" applyBorder="1" applyAlignment="1">
      <alignment horizontal="left" vertical="center" wrapText="1"/>
    </xf>
    <xf numFmtId="0" fontId="65" fillId="38" borderId="3" xfId="3" applyFont="1" applyFill="1" applyBorder="1" applyAlignment="1">
      <alignment horizontal="left" vertical="center" wrapText="1"/>
    </xf>
    <xf numFmtId="0" fontId="2" fillId="39" borderId="2" xfId="0" applyFont="1" applyFill="1" applyBorder="1" applyAlignment="1">
      <alignment horizontal="center" vertical="center" wrapText="1"/>
    </xf>
    <xf numFmtId="0" fontId="2" fillId="39" borderId="3" xfId="0" applyFont="1" applyFill="1" applyBorder="1" applyAlignment="1">
      <alignment horizontal="center" vertical="center" wrapText="1"/>
    </xf>
    <xf numFmtId="0" fontId="2" fillId="39" borderId="4" xfId="0" applyFont="1" applyFill="1" applyBorder="1" applyAlignment="1">
      <alignment wrapText="1"/>
    </xf>
    <xf numFmtId="0" fontId="2" fillId="39" borderId="1" xfId="0" applyFont="1" applyFill="1" applyBorder="1" applyAlignment="1">
      <alignment wrapText="1"/>
    </xf>
    <xf numFmtId="0" fontId="2" fillId="40" borderId="3" xfId="0" applyFont="1" applyFill="1" applyBorder="1" applyAlignment="1">
      <alignment horizontal="center" vertical="center" wrapText="1"/>
    </xf>
    <xf numFmtId="0" fontId="2" fillId="40" borderId="4" xfId="0" applyFont="1" applyFill="1" applyBorder="1" applyAlignment="1">
      <alignment wrapText="1"/>
    </xf>
    <xf numFmtId="0" fontId="2" fillId="40" borderId="1" xfId="0" applyFont="1" applyFill="1" applyBorder="1" applyAlignment="1">
      <alignment wrapText="1"/>
    </xf>
    <xf numFmtId="10" fontId="82" fillId="0" borderId="0" xfId="2" applyNumberFormat="1" applyFont="1" applyBorder="1" applyAlignment="1">
      <alignment horizontal="left" vertical="center"/>
    </xf>
    <xf numFmtId="10" fontId="83" fillId="0" borderId="0" xfId="2" applyNumberFormat="1" applyFont="1" applyBorder="1" applyAlignment="1">
      <alignment horizontal="left" vertical="center"/>
    </xf>
    <xf numFmtId="10" fontId="84" fillId="0" borderId="0" xfId="2" applyNumberFormat="1" applyFont="1" applyBorder="1" applyAlignment="1">
      <alignment horizontal="left" vertical="center"/>
    </xf>
    <xf numFmtId="0" fontId="3" fillId="41" borderId="1" xfId="0" applyFont="1" applyFill="1" applyBorder="1" applyAlignment="1">
      <alignment vertical="center"/>
    </xf>
    <xf numFmtId="0" fontId="3" fillId="41" borderId="1" xfId="0" applyFont="1" applyFill="1" applyBorder="1"/>
    <xf numFmtId="0" fontId="3" fillId="41" borderId="1" xfId="0" applyFont="1" applyFill="1" applyBorder="1" applyAlignment="1" applyProtection="1">
      <alignment horizontal="justify" wrapText="1"/>
      <protection locked="0"/>
    </xf>
    <xf numFmtId="3" fontId="0" fillId="41" borderId="29" xfId="0" applyNumberFormat="1" applyFill="1" applyBorder="1" applyAlignment="1">
      <alignment horizontal="center" vertical="center"/>
    </xf>
    <xf numFmtId="10" fontId="69" fillId="2" borderId="33" xfId="2" applyNumberFormat="1" applyFont="1" applyFill="1" applyBorder="1" applyAlignment="1">
      <alignment horizontal="left" vertical="center"/>
    </xf>
    <xf numFmtId="3" fontId="69" fillId="2" borderId="33" xfId="2" applyNumberFormat="1" applyFont="1" applyFill="1" applyBorder="1" applyAlignment="1">
      <alignment horizontal="center" vertical="center"/>
    </xf>
    <xf numFmtId="0" fontId="3" fillId="42" borderId="1" xfId="0" applyFont="1" applyFill="1" applyBorder="1"/>
    <xf numFmtId="3" fontId="0" fillId="42" borderId="29" xfId="0" applyNumberFormat="1" applyFill="1" applyBorder="1" applyAlignment="1" applyProtection="1">
      <alignment horizontal="center"/>
      <protection locked="0"/>
    </xf>
    <xf numFmtId="10" fontId="71" fillId="42" borderId="16" xfId="2" applyNumberFormat="1" applyFont="1" applyFill="1" applyBorder="1" applyAlignment="1">
      <alignment horizontal="left" vertical="center"/>
    </xf>
    <xf numFmtId="0" fontId="71" fillId="42" borderId="1" xfId="0" applyFont="1" applyFill="1" applyBorder="1"/>
    <xf numFmtId="0" fontId="0" fillId="0" borderId="28" xfId="0" applyBorder="1" applyAlignment="1">
      <alignment horizont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4" fillId="8" borderId="25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7" xfId="0" applyBorder="1" applyAlignment="1">
      <alignment horizontal="left"/>
    </xf>
    <xf numFmtId="6" fontId="38" fillId="0" borderId="25" xfId="0" applyNumberFormat="1" applyFont="1" applyBorder="1" applyAlignment="1">
      <alignment horizontal="center"/>
    </xf>
    <xf numFmtId="6" fontId="38" fillId="0" borderId="27" xfId="0" applyNumberFormat="1" applyFont="1" applyBorder="1" applyAlignment="1">
      <alignment horizontal="center"/>
    </xf>
    <xf numFmtId="164" fontId="39" fillId="0" borderId="26" xfId="0" applyNumberFormat="1" applyFont="1" applyBorder="1" applyAlignment="1">
      <alignment horizontal="center"/>
    </xf>
    <xf numFmtId="0" fontId="39" fillId="0" borderId="27" xfId="0" applyFont="1" applyBorder="1" applyAlignment="1">
      <alignment horizontal="center"/>
    </xf>
    <xf numFmtId="10" fontId="67" fillId="0" borderId="0" xfId="2" applyNumberFormat="1" applyFont="1" applyAlignment="1">
      <alignment horizontal="center"/>
    </xf>
    <xf numFmtId="4" fontId="0" fillId="0" borderId="0" xfId="0" applyNumberFormat="1" applyAlignment="1">
      <alignment horizontal="left" vertical="center" wrapText="1"/>
    </xf>
    <xf numFmtId="3" fontId="47" fillId="14" borderId="0" xfId="0" applyNumberFormat="1" applyFont="1" applyFill="1" applyAlignment="1">
      <alignment horizontal="center" vertical="center"/>
    </xf>
    <xf numFmtId="4" fontId="0" fillId="0" borderId="3" xfId="0" applyNumberForma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4" fontId="59" fillId="22" borderId="95" xfId="0" applyNumberFormat="1" applyFont="1" applyFill="1" applyBorder="1" applyAlignment="1">
      <alignment horizontal="center" vertical="center" wrapText="1"/>
    </xf>
    <xf numFmtId="4" fontId="59" fillId="22" borderId="96" xfId="0" applyNumberFormat="1" applyFont="1" applyFill="1" applyBorder="1" applyAlignment="1">
      <alignment horizontal="center" vertical="center" wrapText="1"/>
    </xf>
    <xf numFmtId="4" fontId="59" fillId="22" borderId="97" xfId="0" applyNumberFormat="1" applyFont="1" applyFill="1" applyBorder="1" applyAlignment="1">
      <alignment horizontal="center" vertical="center" wrapText="1"/>
    </xf>
    <xf numFmtId="4" fontId="59" fillId="2" borderId="98" xfId="0" applyNumberFormat="1" applyFont="1" applyFill="1" applyBorder="1" applyAlignment="1">
      <alignment horizontal="center" vertical="center" wrapText="1"/>
    </xf>
    <xf numFmtId="4" fontId="59" fillId="2" borderId="1" xfId="0" applyNumberFormat="1" applyFont="1" applyFill="1" applyBorder="1" applyAlignment="1">
      <alignment horizontal="center" vertical="center" wrapText="1"/>
    </xf>
    <xf numFmtId="4" fontId="59" fillId="2" borderId="99" xfId="0" applyNumberFormat="1" applyFont="1" applyFill="1" applyBorder="1" applyAlignment="1">
      <alignment horizontal="center" vertical="center" wrapText="1"/>
    </xf>
    <xf numFmtId="4" fontId="59" fillId="25" borderId="98" xfId="0" applyNumberFormat="1" applyFont="1" applyFill="1" applyBorder="1" applyAlignment="1">
      <alignment horizontal="center" vertical="center" wrapText="1"/>
    </xf>
    <xf numFmtId="4" fontId="59" fillId="25" borderId="1" xfId="0" applyNumberFormat="1" applyFont="1" applyFill="1" applyBorder="1" applyAlignment="1">
      <alignment horizontal="center" vertical="center" wrapText="1"/>
    </xf>
    <xf numFmtId="4" fontId="59" fillId="25" borderId="99" xfId="0" applyNumberFormat="1" applyFont="1" applyFill="1" applyBorder="1" applyAlignment="1">
      <alignment horizontal="center" vertical="center" wrapText="1"/>
    </xf>
  </cellXfs>
  <cellStyles count="6">
    <cellStyle name="Měna 2" xfId="1" xr:uid="{00000000-0005-0000-0000-000000000000}"/>
    <cellStyle name="Normální" xfId="0" builtinId="0"/>
    <cellStyle name="Normální 2" xfId="3" xr:uid="{5984EAC8-8184-4E76-AFCE-5BF8AFF1B98A}"/>
    <cellStyle name="Procenta" xfId="2" builtinId="5"/>
    <cellStyle name="Procenta 2" xfId="4" xr:uid="{C89AD5AA-3672-4F0A-8545-397EFD7E11D1}"/>
    <cellStyle name="Procenta 2 2" xfId="5" xr:uid="{D84302EF-A0FD-4113-8837-1E439C2BE56C}"/>
  </cellStyles>
  <dxfs count="48">
    <dxf>
      <numFmt numFmtId="3" formatCode="#,##0"/>
    </dxf>
    <dxf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bottom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</dxf>
    <dxf>
      <font>
        <color rgb="FF00B050"/>
      </font>
      <fill>
        <patternFill patternType="none">
          <bgColor auto="1"/>
        </patternFill>
      </fill>
    </dxf>
    <dxf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numFmt numFmtId="3" formatCode="#,##0"/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numFmt numFmtId="0" formatCode="General"/>
      <fill>
        <patternFill patternType="solid">
          <fgColor theme="6" tint="0.79998168889431442"/>
          <bgColor theme="6" tint="0.79998168889431442"/>
        </patternFill>
      </fill>
      <alignment horizontal="right" vertical="bottom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alignment horizontal="right" vertical="bottom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horizontal="right" vertical="bottom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bottom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</dxf>
    <dxf>
      <font>
        <color rgb="FF00B050"/>
      </font>
      <fill>
        <patternFill patternType="none">
          <bgColor auto="1"/>
        </patternFill>
      </fill>
    </dxf>
    <dxf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bottom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0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fill>
        <patternFill patternType="none"/>
      </fill>
      <alignment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</dxf>
    <dxf>
      <font>
        <color rgb="FF00B050"/>
      </font>
      <fill>
        <patternFill patternType="none">
          <bgColor auto="1"/>
        </patternFill>
      </fill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vertical="center" textRotation="0" wrapText="1" relativeIndent="0" shrinkToFit="0"/>
      <border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numFmt numFmtId="3" formatCode="#,##0"/>
      <fill>
        <patternFill patternType="solid">
          <fgColor theme="0" tint="-0.14999847407452621"/>
          <bgColor theme="2"/>
        </patternFill>
      </fill>
      <alignment horizontal="right" vertical="center" textRotation="0" wrapText="1" relativeIndent="0" shrinkToFit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/>
        <strike val="0"/>
        <u val="none"/>
        <vertAlign val="baseline"/>
        <sz val="11"/>
        <color theme="0" tint="-0.499984740745262"/>
        <name val="Calibri"/>
        <scheme val="minor"/>
      </font>
      <fill>
        <patternFill patternType="solid">
          <fgColor theme="0" tint="-0.14999847407452621"/>
          <bgColor theme="2"/>
        </patternFill>
      </fill>
      <alignment horizontal="justify" vertical="center" textRotation="0" wrapText="1" relativeIndent="0" shrinkToFit="0"/>
      <border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fill>
        <patternFill patternType="solid">
          <fgColor theme="2"/>
          <bgColor theme="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fill>
        <patternFill patternType="solid">
          <fgColor theme="2"/>
          <bgColor theme="2"/>
        </patternFill>
      </fill>
      <alignment vertical="center" textRotation="0" wrapText="0" relativeIndent="0" shrinkToFit="0"/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/>
      </fill>
    </dxf>
  </dxfs>
  <tableStyles count="1" defaultTableStyle="TableStyleMedium2" defaultPivotStyle="PivotStyleLight16">
    <tableStyle name="Styl tabulky 1" pivot="0" count="1" xr9:uid="{00000000-0011-0000-FFFF-FFFF00000000}">
      <tableStyleElement type="wholeTable" dxfId="47"/>
    </tableStyle>
  </tableStyles>
  <colors>
    <mruColors>
      <color rgb="FFE73938"/>
      <color rgb="FFD19D26"/>
      <color rgb="FF24B2A3"/>
      <color rgb="FF3E1F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535780</xdr:colOff>
      <xdr:row>5</xdr:row>
      <xdr:rowOff>130968</xdr:rowOff>
    </xdr:from>
    <xdr:to>
      <xdr:col>0</xdr:col>
      <xdr:colOff>846138</xdr:colOff>
      <xdr:row>5</xdr:row>
      <xdr:rowOff>438150</xdr:rowOff>
    </xdr:to>
    <xdr:pic>
      <xdr:nvPicPr>
        <xdr:cNvPr id="2" name="Grafický objekt 1" descr="Přičíst se souvislou výplní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35780" y="2531268"/>
          <a:ext cx="310358" cy="3071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Nextcloud\FST\94_Materi&#225;ly%20pro%20SF&#381;P%20a%20O330\02_Finan&#269;n&#237;%20tabulky\V&#253;po&#269;tov&#225;%20tabulka%20OPST_verze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íle"/>
      <sheetName val="Kódy intervence"/>
    </sheetNames>
    <sheetDataSet>
      <sheetData sheetId="0" refreshError="1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16C69E5-DFC2-475C-AF7F-252FFE247239}" name="FP_TABLE_11b" displayName="FP_TABLE_11b" ref="C45:L48">
  <autoFilter ref="C45:L48" xr:uid="{00000000-0009-0000-0100-000009000000}"/>
  <tableColumns count="10">
    <tableColumn id="1" xr3:uid="{07B364E1-3D69-4252-B949-792055327480}" name="celkem" dataDxfId="46"/>
    <tableColumn id="2" xr3:uid="{7E1252C5-656E-4841-99D5-FA8BE8C8BB7A}" name="fond" dataDxfId="45"/>
    <tableColumn id="3" xr3:uid="{A5E4AB24-7719-4C38-BAD0-3FABA688BBAD}" name="kategorie regionu" dataDxfId="44"/>
    <tableColumn id="4" xr3:uid="{E35E8C56-22BF-4B3C-81FA-10017B749804}" name="příspěvek EU (a) = (g)+(h)" dataDxfId="43"/>
    <tableColumn id="5" xr3:uid="{547B9CE7-87D0-41B2-BBD9-BEEA6F1252E7}" name="Složení příspěvku Unie: příspěvek EU bez částky pro účely flexibility" dataDxfId="42"/>
    <tableColumn id="6" xr3:uid="{A990416B-6848-4042-B91E-C4A0C0EA1361}" name="Složení příspěvku Unie: částka pro účely flexibility" dataDxfId="41"/>
    <tableColumn id="7" xr3:uid="{A8A24C21-61F9-414D-88A4-0ECDC40EAFC7}" name="národní příspěvek (b)=(c)+(d)" dataDxfId="40"/>
    <tableColumn id="8" xr3:uid="{F4022D6F-7732-458E-881A-B270FF6264EC}" name="indikativní rozložení národního příspěvku - veřejné (c) " dataDxfId="39"/>
    <tableColumn id="9" xr3:uid="{FFE99D67-A071-45B9-94E8-DABB0D0F2794}" name="indikativní rozložení národního příspěvku - soukromé (d)" dataDxfId="38"/>
    <tableColumn id="10" xr3:uid="{FA1E8139-B9A7-47BA-845A-4DA245444B3C}" name="Celkem [e]=[a]+[b]" dataDxfId="37"/>
  </tableColumns>
  <tableStyleInfo name="Styl tabulky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56BE923-9DDD-436E-8B44-FB6ED2F3C44D}" name="FP_TABLE" displayName="FP_TABLE" ref="B18:L31">
  <autoFilter ref="B18:L31" xr:uid="{00000000-0009-0000-0100-00000A000000}"/>
  <tableColumns count="11">
    <tableColumn id="1" xr3:uid="{9FB787CB-BD82-45A9-B1A4-7A5992CF5347}" name="Priorita" dataDxfId="36"/>
    <tableColumn id="2" xr3:uid="{25C7DD39-E0E5-4194-93B3-10C154DEAE1F}" name="2021" dataDxfId="35"/>
    <tableColumn id="3" xr3:uid="{9AF3108C-85CB-4D69-9B00-6B111FC8341A}" name="2022" dataDxfId="34"/>
    <tableColumn id="4" xr3:uid="{CF9B8945-D6EA-4F70-ABD6-EF02B8DF1FB8}" name="2023" dataDxfId="33"/>
    <tableColumn id="5" xr3:uid="{7F959ABE-EF2F-4A08-85A6-DB22C1032069}" name="2024" dataDxfId="32"/>
    <tableColumn id="6" xr3:uid="{611DD0DE-847F-45F5-AB7D-FB37B7E33403}" name="2025" dataDxfId="31"/>
    <tableColumn id="7" xr3:uid="{71FC763B-0A68-4465-BED8-1A9C13F0DB3C}" name="2026 (bez flexibility)" dataDxfId="30"/>
    <tableColumn id="8" xr3:uid="{31BBA2D0-2C14-497F-A771-28B4225C4890}" name="2026 (flexibilita)" dataDxfId="29"/>
    <tableColumn id="9" xr3:uid="{BF42AF16-1123-4799-B521-611A93D59DDC}" name="2027 (bez flexibility)" dataDxfId="28"/>
    <tableColumn id="10" xr3:uid="{95C592F7-BA6D-4A1E-BD37-446FB7678E5A}" name="2027 (flexibilita)" dataDxfId="27"/>
    <tableColumn id="11" xr3:uid="{B577EB02-36A6-4374-83B8-E8EAEE396A12}" name="Celkem" dataDxfId="26">
      <calculatedColumnFormula>SUM(FP_TABLE[[#This Row],[2021]:[2027 (flexibilita)]])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KVK_AKT" displayName="KVK_AKT" ref="B18:I33">
  <tableColumns count="8">
    <tableColumn id="1" xr3:uid="{00000000-0010-0000-0000-000001000000}" name="Oblast podpory" dataDxfId="23"/>
    <tableColumn id="2" xr3:uid="{00000000-0010-0000-0000-000002000000}" name="Fond" dataDxfId="22"/>
    <tableColumn id="3" xr3:uid="{00000000-0010-0000-0000-000003000000}" name="Typ" dataDxfId="21"/>
    <tableColumn id="4" xr3:uid="{00000000-0010-0000-0000-000004000000}" name="Výzva" dataDxfId="20"/>
    <tableColumn id="11" xr3:uid="{00000000-0010-0000-0000-00000B000000}" name="Celkový příspěvek EU (Kč)" dataDxfId="19"/>
    <tableColumn id="12" xr3:uid="{00000000-0010-0000-0000-00000C000000}" name="Stav"/>
    <tableColumn id="13" xr3:uid="{00000000-0010-0000-0000-00000D000000}" name="Poznámka"/>
    <tableColumn id="5" xr3:uid="{360B6997-DC0B-4DD8-87F0-F1C635842A3A}" name="Sloupec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ULK_AKT" displayName="ULK_AKT" ref="B18:M44">
  <tableColumns count="12">
    <tableColumn id="1" xr3:uid="{00000000-0010-0000-0100-000001000000}" name="Oblast podpory" dataDxfId="16"/>
    <tableColumn id="2" xr3:uid="{00000000-0010-0000-0100-000002000000}" name="Fond" dataDxfId="15"/>
    <tableColumn id="3" xr3:uid="{00000000-0010-0000-0100-000003000000}" name="Typ" dataDxfId="14"/>
    <tableColumn id="4" xr3:uid="{00000000-0010-0000-0100-000004000000}" name="Výzva" dataDxfId="13"/>
    <tableColumn id="5" xr3:uid="{00000000-0010-0000-0100-000005000000}" name="Oblast intervence" dataDxfId="12"/>
    <tableColumn id="6" xr3:uid="{00000000-0010-0000-0100-000006000000}" name="% alokace priority" dataDxfId="11"/>
    <tableColumn id="7" xr3:uid="{00000000-0010-0000-0100-000007000000}" name="Kontrola klima tagu" dataDxfId="10"/>
    <tableColumn id="8" xr3:uid="{00000000-0010-0000-0100-000008000000}" name="Příspěvek ke klimatu" dataDxfId="9"/>
    <tableColumn id="9" xr3:uid="{00000000-0010-0000-0100-000009000000}" name="Celkový příspěvek EU (Kč)" dataDxfId="8"/>
    <tableColumn id="10" xr3:uid="{00000000-0010-0000-0100-00000A000000}" name="Stav"/>
    <tableColumn id="11" xr3:uid="{00000000-0010-0000-0100-00000B000000}" name="Poznámka kraj"/>
    <tableColumn id="12" xr3:uid="{00000000-0010-0000-0100-00000C000000}" name="Poznámka OPST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ECCF6EE-A4C1-4985-AAE6-6470421CA8BB}" name="MSK_AKT" displayName="MSK_AKT" ref="A18:H46">
  <tableColumns count="8">
    <tableColumn id="1" xr3:uid="{39B2820C-EB29-4509-B22F-3560152C1BDE}" name="Oblast podpory" dataDxfId="5"/>
    <tableColumn id="2" xr3:uid="{C8EF3524-3955-4B75-90F1-EE8A4A06BD4C}" name="Fond" dataDxfId="4"/>
    <tableColumn id="3" xr3:uid="{E3D7BF14-AF1C-4EF6-BBE2-CB7F357425BA}" name="Typ" dataDxfId="3"/>
    <tableColumn id="4" xr3:uid="{71103515-467C-4460-911D-5A9A89E88D48}" name="Aktivita" dataDxfId="2"/>
    <tableColumn id="10" xr3:uid="{FF197B43-EF81-4836-9A67-A2127B97CB69}" name="Celkový příspěvek EU (Kč)" dataDxfId="1"/>
    <tableColumn id="11" xr3:uid="{64737873-987A-4BF8-AF6B-C9886CB18BDB}" name="Stav"/>
    <tableColumn id="5" xr3:uid="{7E610F79-9481-4E7E-90A1-0465102AC6BB}" name="Poznámka kraj" dataCellStyle="Normální 2"/>
    <tableColumn id="6" xr3:uid="{FE21FA6F-807D-4ACD-A892-2FD1D4544DC3}" name="Poznámka OPST" dataDxfId="0" dataCellStyle="Normální 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1D5D4-A2DC-4210-8E1A-1AE03023415D}">
  <dimension ref="B2:L41"/>
  <sheetViews>
    <sheetView topLeftCell="A13" workbookViewId="0">
      <selection activeCell="G15" sqref="G15"/>
    </sheetView>
  </sheetViews>
  <sheetFormatPr defaultRowHeight="15" x14ac:dyDescent="0.25"/>
  <cols>
    <col min="2" max="2" width="20" bestFit="1" customWidth="1"/>
    <col min="3" max="13" width="15.5703125" customWidth="1"/>
  </cols>
  <sheetData>
    <row r="2" spans="2:12" x14ac:dyDescent="0.25"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</row>
    <row r="3" spans="2:12" x14ac:dyDescent="0.25">
      <c r="B3" s="545" t="s">
        <v>249</v>
      </c>
      <c r="C3" s="545">
        <v>2021</v>
      </c>
      <c r="D3" s="545">
        <v>2022</v>
      </c>
      <c r="E3" s="545">
        <v>2023</v>
      </c>
      <c r="F3" s="545">
        <v>2024</v>
      </c>
      <c r="G3" s="545">
        <v>2025</v>
      </c>
      <c r="H3" s="545">
        <v>2026</v>
      </c>
      <c r="I3" s="545">
        <v>2027</v>
      </c>
      <c r="J3" s="545">
        <v>2028</v>
      </c>
      <c r="K3" s="545">
        <v>2029</v>
      </c>
      <c r="L3" s="545" t="s">
        <v>212</v>
      </c>
    </row>
    <row r="4" spans="2:12" x14ac:dyDescent="0.25">
      <c r="B4" s="546" t="s">
        <v>250</v>
      </c>
      <c r="C4" s="547">
        <v>0</v>
      </c>
      <c r="D4" s="547">
        <v>580473969</v>
      </c>
      <c r="E4" s="547">
        <v>589798118</v>
      </c>
      <c r="F4" s="547">
        <v>126771054</v>
      </c>
      <c r="G4" s="547">
        <v>128823060</v>
      </c>
      <c r="H4" s="547">
        <v>106745449</v>
      </c>
      <c r="I4" s="547">
        <v>108880358</v>
      </c>
      <c r="J4" s="547">
        <v>0</v>
      </c>
      <c r="K4" s="547">
        <v>0</v>
      </c>
      <c r="L4" s="547">
        <v>1641492008</v>
      </c>
    </row>
    <row r="5" spans="2:12" x14ac:dyDescent="0.25">
      <c r="B5" s="548" t="s">
        <v>251</v>
      </c>
      <c r="C5" s="549">
        <v>0</v>
      </c>
      <c r="D5" s="549">
        <v>122786956</v>
      </c>
      <c r="E5" s="549">
        <v>124759282</v>
      </c>
      <c r="F5" s="549">
        <v>126771054</v>
      </c>
      <c r="G5" s="549">
        <v>128823060</v>
      </c>
      <c r="H5" s="549">
        <v>106745449</v>
      </c>
      <c r="I5" s="549">
        <v>108880358</v>
      </c>
      <c r="J5" s="549">
        <v>0</v>
      </c>
      <c r="K5" s="549">
        <v>0</v>
      </c>
      <c r="L5" s="549">
        <v>718766159</v>
      </c>
    </row>
    <row r="6" spans="2:12" x14ac:dyDescent="0.25">
      <c r="B6" s="548" t="s">
        <v>252</v>
      </c>
      <c r="C6" s="549">
        <v>0</v>
      </c>
      <c r="D6" s="549">
        <v>457687013</v>
      </c>
      <c r="E6" s="549">
        <v>465038836</v>
      </c>
      <c r="F6" s="549">
        <v>0</v>
      </c>
      <c r="G6" s="549">
        <v>0</v>
      </c>
      <c r="H6" s="549">
        <v>0</v>
      </c>
      <c r="I6" s="549">
        <v>0</v>
      </c>
      <c r="J6" s="549">
        <v>0</v>
      </c>
      <c r="K6" s="549">
        <v>0</v>
      </c>
      <c r="L6" s="549">
        <v>922725849</v>
      </c>
    </row>
    <row r="7" spans="2:12" x14ac:dyDescent="0.25">
      <c r="B7" s="546" t="s">
        <v>253</v>
      </c>
      <c r="C7" s="547">
        <v>0</v>
      </c>
      <c r="D7" s="547">
        <v>0</v>
      </c>
      <c r="E7" s="547">
        <v>0</v>
      </c>
      <c r="F7" s="547">
        <v>0</v>
      </c>
      <c r="G7" s="547">
        <v>580473969</v>
      </c>
      <c r="H7" s="547">
        <v>1170272087</v>
      </c>
      <c r="I7" s="547">
        <v>1297043141</v>
      </c>
      <c r="J7" s="547">
        <v>1425866201</v>
      </c>
      <c r="K7" s="547">
        <v>1641492008</v>
      </c>
      <c r="L7" s="550" t="s">
        <v>254</v>
      </c>
    </row>
    <row r="8" spans="2:12" x14ac:dyDescent="0.25">
      <c r="B8" s="546" t="s">
        <v>255</v>
      </c>
      <c r="C8" s="551">
        <v>0</v>
      </c>
      <c r="D8" s="551">
        <v>0</v>
      </c>
      <c r="E8" s="551">
        <v>0</v>
      </c>
      <c r="F8" s="551">
        <v>0</v>
      </c>
      <c r="G8" s="551">
        <v>0.35362582709571133</v>
      </c>
      <c r="H8" s="551">
        <v>0.71293194319347553</v>
      </c>
      <c r="I8" s="551">
        <v>0.79016110628544711</v>
      </c>
      <c r="J8" s="551">
        <v>0.86864035526879035</v>
      </c>
      <c r="K8" s="551">
        <v>1</v>
      </c>
      <c r="L8" s="552" t="s">
        <v>254</v>
      </c>
    </row>
    <row r="9" spans="2:12" x14ac:dyDescent="0.25">
      <c r="B9" s="544"/>
      <c r="C9" s="553"/>
      <c r="D9" s="553"/>
      <c r="E9" s="553"/>
      <c r="F9" s="553"/>
      <c r="G9" s="553"/>
      <c r="H9" s="553"/>
      <c r="I9" s="553"/>
      <c r="J9" s="553"/>
      <c r="K9" s="553"/>
      <c r="L9" s="554"/>
    </row>
    <row r="10" spans="2:12" x14ac:dyDescent="0.25">
      <c r="B10" s="544"/>
      <c r="C10" s="553"/>
      <c r="D10" s="553"/>
      <c r="E10" s="553"/>
      <c r="F10" s="553"/>
      <c r="G10" s="553"/>
      <c r="H10" s="553"/>
      <c r="I10" s="553"/>
      <c r="J10" s="553"/>
      <c r="K10" s="553"/>
      <c r="L10" s="554"/>
    </row>
    <row r="11" spans="2:12" x14ac:dyDescent="0.25">
      <c r="B11" s="555" t="s">
        <v>256</v>
      </c>
      <c r="C11" s="555">
        <v>2021</v>
      </c>
      <c r="D11" s="555">
        <v>2022</v>
      </c>
      <c r="E11" s="555">
        <v>2023</v>
      </c>
      <c r="F11" s="555">
        <v>2024</v>
      </c>
      <c r="G11" s="555">
        <v>2025</v>
      </c>
      <c r="H11" s="555">
        <v>2026</v>
      </c>
      <c r="I11" s="555">
        <v>2027</v>
      </c>
      <c r="J11" s="555">
        <v>2028</v>
      </c>
      <c r="K11" s="555">
        <v>2029</v>
      </c>
      <c r="L11" s="555" t="s">
        <v>212</v>
      </c>
    </row>
    <row r="12" spans="2:12" x14ac:dyDescent="0.25">
      <c r="B12" s="546" t="s">
        <v>250</v>
      </c>
      <c r="C12" s="547">
        <v>0</v>
      </c>
      <c r="D12" s="547">
        <v>85260017</v>
      </c>
      <c r="E12" s="547">
        <v>86629548</v>
      </c>
      <c r="F12" s="547">
        <v>18620132</v>
      </c>
      <c r="G12" s="547">
        <v>18921531</v>
      </c>
      <c r="H12" s="547">
        <v>15678771</v>
      </c>
      <c r="I12" s="547">
        <v>15992346</v>
      </c>
      <c r="J12" s="547">
        <v>0</v>
      </c>
      <c r="K12" s="547">
        <v>0</v>
      </c>
      <c r="L12" s="547">
        <v>241102345</v>
      </c>
    </row>
    <row r="13" spans="2:12" x14ac:dyDescent="0.25">
      <c r="B13" s="548" t="s">
        <v>251</v>
      </c>
      <c r="C13" s="549">
        <v>0</v>
      </c>
      <c r="D13" s="549">
        <v>18034948</v>
      </c>
      <c r="E13" s="549">
        <v>18324643</v>
      </c>
      <c r="F13" s="549">
        <v>18620132</v>
      </c>
      <c r="G13" s="549">
        <v>18921531</v>
      </c>
      <c r="H13" s="549">
        <v>15678771</v>
      </c>
      <c r="I13" s="549">
        <v>15992346</v>
      </c>
      <c r="J13" s="549">
        <v>0</v>
      </c>
      <c r="K13" s="549">
        <v>0</v>
      </c>
      <c r="L13" s="549">
        <v>105572371</v>
      </c>
    </row>
    <row r="14" spans="2:12" x14ac:dyDescent="0.25">
      <c r="B14" s="548" t="s">
        <v>252</v>
      </c>
      <c r="C14" s="549">
        <v>0</v>
      </c>
      <c r="D14" s="549">
        <v>67225069</v>
      </c>
      <c r="E14" s="549">
        <v>68304905</v>
      </c>
      <c r="F14" s="549">
        <v>0</v>
      </c>
      <c r="G14" s="549">
        <v>0</v>
      </c>
      <c r="H14" s="549">
        <v>0</v>
      </c>
      <c r="I14" s="549">
        <v>0</v>
      </c>
      <c r="J14" s="549">
        <v>0</v>
      </c>
      <c r="K14" s="549">
        <v>0</v>
      </c>
      <c r="L14" s="549">
        <v>135529974</v>
      </c>
    </row>
    <row r="15" spans="2:12" x14ac:dyDescent="0.25">
      <c r="B15" s="546" t="s">
        <v>253</v>
      </c>
      <c r="C15" s="547">
        <v>0</v>
      </c>
      <c r="D15" s="547">
        <v>0</v>
      </c>
      <c r="E15" s="547">
        <v>0</v>
      </c>
      <c r="F15" s="547">
        <v>0</v>
      </c>
      <c r="G15" s="547">
        <v>85260017</v>
      </c>
      <c r="H15" s="547">
        <v>171889565</v>
      </c>
      <c r="I15" s="547">
        <v>190509697</v>
      </c>
      <c r="J15" s="547">
        <v>209431228</v>
      </c>
      <c r="K15" s="547">
        <v>241102345</v>
      </c>
      <c r="L15" s="550" t="s">
        <v>254</v>
      </c>
    </row>
    <row r="16" spans="2:12" x14ac:dyDescent="0.25">
      <c r="B16" s="546" t="s">
        <v>255</v>
      </c>
      <c r="C16" s="551">
        <v>0</v>
      </c>
      <c r="D16" s="551">
        <v>0</v>
      </c>
      <c r="E16" s="551">
        <v>0</v>
      </c>
      <c r="F16" s="551">
        <v>0</v>
      </c>
      <c r="G16" s="551">
        <v>0.35362583055755847</v>
      </c>
      <c r="H16" s="551">
        <v>0.71293195012267507</v>
      </c>
      <c r="I16" s="551">
        <v>0.79016111187139226</v>
      </c>
      <c r="J16" s="551">
        <v>0.86864036100519881</v>
      </c>
      <c r="K16" s="551">
        <v>1</v>
      </c>
      <c r="L16" s="552" t="s">
        <v>254</v>
      </c>
    </row>
    <row r="17" spans="2:12" x14ac:dyDescent="0.25">
      <c r="B17" s="544"/>
      <c r="C17" s="553"/>
      <c r="D17" s="553"/>
      <c r="E17" s="553"/>
      <c r="F17" s="553"/>
      <c r="G17" s="553"/>
      <c r="H17" s="553"/>
      <c r="I17" s="553"/>
      <c r="J17" s="553"/>
      <c r="K17" s="553"/>
      <c r="L17" s="554"/>
    </row>
    <row r="18" spans="2:12" x14ac:dyDescent="0.25">
      <c r="B18" s="544"/>
      <c r="C18" s="544"/>
      <c r="D18" s="544"/>
      <c r="E18" s="544"/>
      <c r="F18" s="544"/>
      <c r="G18" s="544"/>
      <c r="H18" s="544"/>
      <c r="I18" s="544"/>
      <c r="J18" s="544"/>
      <c r="K18" s="544"/>
      <c r="L18" s="544"/>
    </row>
    <row r="19" spans="2:12" x14ac:dyDescent="0.25">
      <c r="B19" s="556" t="s">
        <v>257</v>
      </c>
      <c r="C19" s="556">
        <v>2021</v>
      </c>
      <c r="D19" s="556">
        <v>2022</v>
      </c>
      <c r="E19" s="556">
        <v>2023</v>
      </c>
      <c r="F19" s="556">
        <v>2024</v>
      </c>
      <c r="G19" s="556">
        <v>2025</v>
      </c>
      <c r="H19" s="556">
        <v>2026</v>
      </c>
      <c r="I19" s="556">
        <v>2027</v>
      </c>
      <c r="J19" s="556">
        <v>2028</v>
      </c>
      <c r="K19" s="556">
        <v>2029</v>
      </c>
      <c r="L19" s="556" t="s">
        <v>212</v>
      </c>
    </row>
    <row r="20" spans="2:12" x14ac:dyDescent="0.25">
      <c r="B20" s="546" t="s">
        <v>250</v>
      </c>
      <c r="C20" s="547">
        <v>0</v>
      </c>
      <c r="D20" s="547">
        <v>215100434</v>
      </c>
      <c r="E20" s="547">
        <v>218555590</v>
      </c>
      <c r="F20" s="547">
        <v>46976282</v>
      </c>
      <c r="G20" s="547">
        <v>47736673</v>
      </c>
      <c r="H20" s="547">
        <v>39555594</v>
      </c>
      <c r="I20" s="547">
        <v>40346706</v>
      </c>
      <c r="J20" s="547">
        <v>0</v>
      </c>
      <c r="K20" s="547">
        <v>0</v>
      </c>
      <c r="L20" s="547">
        <v>608271279</v>
      </c>
    </row>
    <row r="21" spans="2:12" x14ac:dyDescent="0.25">
      <c r="B21" s="548" t="s">
        <v>251</v>
      </c>
      <c r="C21" s="549">
        <v>0</v>
      </c>
      <c r="D21" s="549">
        <v>45499935</v>
      </c>
      <c r="E21" s="549">
        <v>46230799</v>
      </c>
      <c r="F21" s="549">
        <v>46976282</v>
      </c>
      <c r="G21" s="549">
        <v>47736673</v>
      </c>
      <c r="H21" s="549">
        <v>39555594</v>
      </c>
      <c r="I21" s="549">
        <v>40346706</v>
      </c>
      <c r="J21" s="549">
        <v>0</v>
      </c>
      <c r="K21" s="549">
        <v>0</v>
      </c>
      <c r="L21" s="547">
        <v>266345989</v>
      </c>
    </row>
    <row r="22" spans="2:12" x14ac:dyDescent="0.25">
      <c r="B22" s="548" t="s">
        <v>252</v>
      </c>
      <c r="C22" s="549">
        <v>0</v>
      </c>
      <c r="D22" s="549">
        <v>169600499</v>
      </c>
      <c r="E22" s="549">
        <v>172324791</v>
      </c>
      <c r="F22" s="549">
        <v>0</v>
      </c>
      <c r="G22" s="549">
        <v>0</v>
      </c>
      <c r="H22" s="549">
        <v>0</v>
      </c>
      <c r="I22" s="549">
        <v>0</v>
      </c>
      <c r="J22" s="549">
        <v>0</v>
      </c>
      <c r="K22" s="549">
        <v>0</v>
      </c>
      <c r="L22" s="547">
        <v>341925290</v>
      </c>
    </row>
    <row r="23" spans="2:12" x14ac:dyDescent="0.25">
      <c r="B23" s="546" t="s">
        <v>253</v>
      </c>
      <c r="C23" s="547">
        <v>0</v>
      </c>
      <c r="D23" s="547">
        <v>0</v>
      </c>
      <c r="E23" s="547">
        <v>0</v>
      </c>
      <c r="F23" s="547">
        <v>0</v>
      </c>
      <c r="G23" s="547">
        <v>215100434</v>
      </c>
      <c r="H23" s="547">
        <v>433656024</v>
      </c>
      <c r="I23" s="547">
        <v>480632306</v>
      </c>
      <c r="J23" s="547">
        <v>528368979</v>
      </c>
      <c r="K23" s="547">
        <v>608271279</v>
      </c>
      <c r="L23" s="550" t="s">
        <v>254</v>
      </c>
    </row>
    <row r="24" spans="2:12" x14ac:dyDescent="0.25">
      <c r="B24" s="546" t="s">
        <v>255</v>
      </c>
      <c r="C24" s="551">
        <v>0</v>
      </c>
      <c r="D24" s="551">
        <v>0</v>
      </c>
      <c r="E24" s="551">
        <v>0</v>
      </c>
      <c r="F24" s="551">
        <v>0</v>
      </c>
      <c r="G24" s="551">
        <v>0.35362582687386757</v>
      </c>
      <c r="H24" s="551">
        <v>0.71293194167071627</v>
      </c>
      <c r="I24" s="551">
        <v>0.79016110507496118</v>
      </c>
      <c r="J24" s="551">
        <v>0.86864035380503313</v>
      </c>
      <c r="K24" s="551">
        <v>1</v>
      </c>
      <c r="L24" s="552" t="s">
        <v>254</v>
      </c>
    </row>
    <row r="25" spans="2:12" x14ac:dyDescent="0.25">
      <c r="B25" s="544"/>
      <c r="C25" s="553"/>
      <c r="D25" s="553"/>
      <c r="E25" s="553"/>
      <c r="F25" s="553"/>
      <c r="G25" s="553"/>
      <c r="H25" s="553"/>
      <c r="I25" s="553"/>
      <c r="J25" s="553"/>
      <c r="K25" s="553"/>
      <c r="L25" s="554"/>
    </row>
    <row r="26" spans="2:12" x14ac:dyDescent="0.25">
      <c r="B26" s="544"/>
      <c r="C26" s="553"/>
      <c r="D26" s="553"/>
      <c r="E26" s="553"/>
      <c r="F26" s="553"/>
      <c r="G26" s="553"/>
      <c r="H26" s="553"/>
      <c r="I26" s="553"/>
      <c r="J26" s="553"/>
      <c r="K26" s="553"/>
      <c r="L26" s="554"/>
    </row>
    <row r="27" spans="2:12" x14ac:dyDescent="0.25">
      <c r="B27" s="557" t="s">
        <v>258</v>
      </c>
      <c r="C27" s="557">
        <v>2021</v>
      </c>
      <c r="D27" s="557">
        <v>2022</v>
      </c>
      <c r="E27" s="557">
        <v>2023</v>
      </c>
      <c r="F27" s="557">
        <v>2024</v>
      </c>
      <c r="G27" s="557">
        <v>2025</v>
      </c>
      <c r="H27" s="557">
        <v>2026</v>
      </c>
      <c r="I27" s="557">
        <v>2027</v>
      </c>
      <c r="J27" s="557">
        <v>2028</v>
      </c>
      <c r="K27" s="557">
        <v>2029</v>
      </c>
      <c r="L27" s="557" t="s">
        <v>212</v>
      </c>
    </row>
    <row r="28" spans="2:12" x14ac:dyDescent="0.25">
      <c r="B28" s="546" t="s">
        <v>250</v>
      </c>
      <c r="C28" s="547">
        <v>0</v>
      </c>
      <c r="D28" s="547">
        <v>256894559</v>
      </c>
      <c r="E28" s="547">
        <v>261021055</v>
      </c>
      <c r="F28" s="547">
        <v>56103798</v>
      </c>
      <c r="G28" s="547">
        <v>57011934</v>
      </c>
      <c r="H28" s="547">
        <v>47241266</v>
      </c>
      <c r="I28" s="547">
        <v>48186092</v>
      </c>
      <c r="J28" s="547">
        <v>0</v>
      </c>
      <c r="K28" s="547">
        <v>0</v>
      </c>
      <c r="L28" s="547">
        <v>726458704</v>
      </c>
    </row>
    <row r="29" spans="2:12" x14ac:dyDescent="0.25">
      <c r="B29" s="548" t="s">
        <v>251</v>
      </c>
      <c r="C29" s="549">
        <v>0</v>
      </c>
      <c r="D29" s="549">
        <v>54340595</v>
      </c>
      <c r="E29" s="549">
        <v>55213468</v>
      </c>
      <c r="F29" s="549">
        <v>56103798</v>
      </c>
      <c r="G29" s="549">
        <v>57011934</v>
      </c>
      <c r="H29" s="549">
        <v>47241266</v>
      </c>
      <c r="I29" s="549">
        <v>48186092</v>
      </c>
      <c r="J29" s="549">
        <v>0</v>
      </c>
      <c r="K29" s="549">
        <v>0</v>
      </c>
      <c r="L29" s="549">
        <v>318097153</v>
      </c>
    </row>
    <row r="30" spans="2:12" x14ac:dyDescent="0.25">
      <c r="B30" s="548" t="s">
        <v>252</v>
      </c>
      <c r="C30" s="549">
        <v>0</v>
      </c>
      <c r="D30" s="549">
        <v>202553964</v>
      </c>
      <c r="E30" s="549">
        <v>205807587</v>
      </c>
      <c r="F30" s="549">
        <v>0</v>
      </c>
      <c r="G30" s="549">
        <v>0</v>
      </c>
      <c r="H30" s="549">
        <v>0</v>
      </c>
      <c r="I30" s="549">
        <v>0</v>
      </c>
      <c r="J30" s="549">
        <v>0</v>
      </c>
      <c r="K30" s="549">
        <v>0</v>
      </c>
      <c r="L30" s="549">
        <v>408361551</v>
      </c>
    </row>
    <row r="31" spans="2:12" x14ac:dyDescent="0.25">
      <c r="B31" s="546" t="s">
        <v>253</v>
      </c>
      <c r="C31" s="547">
        <v>0</v>
      </c>
      <c r="D31" s="547">
        <v>0</v>
      </c>
      <c r="E31" s="547">
        <v>0</v>
      </c>
      <c r="F31" s="547">
        <v>0</v>
      </c>
      <c r="G31" s="547">
        <v>256894559</v>
      </c>
      <c r="H31" s="547">
        <v>517915614</v>
      </c>
      <c r="I31" s="547">
        <v>574019412</v>
      </c>
      <c r="J31" s="547">
        <v>631031346</v>
      </c>
      <c r="K31" s="547">
        <v>726458704</v>
      </c>
      <c r="L31" s="550" t="s">
        <v>254</v>
      </c>
    </row>
    <row r="32" spans="2:12" x14ac:dyDescent="0.25">
      <c r="B32" s="546" t="s">
        <v>255</v>
      </c>
      <c r="C32" s="551">
        <v>0</v>
      </c>
      <c r="D32" s="551">
        <v>0</v>
      </c>
      <c r="E32" s="551">
        <v>0</v>
      </c>
      <c r="F32" s="551">
        <v>0</v>
      </c>
      <c r="G32" s="551">
        <v>0.35362582564638112</v>
      </c>
      <c r="H32" s="551">
        <v>0.71293194113894187</v>
      </c>
      <c r="I32" s="551">
        <v>0.79016110460148059</v>
      </c>
      <c r="J32" s="551">
        <v>0.86864035426300024</v>
      </c>
      <c r="K32" s="551">
        <v>1</v>
      </c>
      <c r="L32" s="552" t="s">
        <v>254</v>
      </c>
    </row>
    <row r="33" spans="2:12" x14ac:dyDescent="0.25">
      <c r="B33" s="544"/>
      <c r="C33" s="544"/>
      <c r="D33" s="544"/>
      <c r="E33" s="544"/>
      <c r="F33" s="544"/>
      <c r="G33" s="544"/>
      <c r="H33" s="544"/>
      <c r="I33" s="544"/>
      <c r="J33" s="544"/>
      <c r="K33" s="544"/>
      <c r="L33" s="544"/>
    </row>
    <row r="34" spans="2:12" x14ac:dyDescent="0.25">
      <c r="B34" s="544"/>
      <c r="C34" s="544"/>
      <c r="D34" s="544"/>
      <c r="E34" s="544"/>
      <c r="F34" s="544"/>
      <c r="G34" s="544"/>
      <c r="H34" s="544"/>
      <c r="I34" s="544"/>
      <c r="J34" s="544"/>
      <c r="K34" s="544"/>
      <c r="L34" s="544"/>
    </row>
    <row r="35" spans="2:12" x14ac:dyDescent="0.25">
      <c r="B35" s="558" t="s">
        <v>259</v>
      </c>
      <c r="C35" s="558">
        <v>2021</v>
      </c>
      <c r="D35" s="558">
        <v>2022</v>
      </c>
      <c r="E35" s="558">
        <v>2023</v>
      </c>
      <c r="F35" s="558">
        <v>2024</v>
      </c>
      <c r="G35" s="558">
        <v>2025</v>
      </c>
      <c r="H35" s="558">
        <v>2026</v>
      </c>
      <c r="I35" s="558">
        <v>2027</v>
      </c>
      <c r="J35" s="558">
        <v>2028</v>
      </c>
      <c r="K35" s="558">
        <v>2029</v>
      </c>
      <c r="L35" s="558" t="s">
        <v>212</v>
      </c>
    </row>
    <row r="36" spans="2:12" x14ac:dyDescent="0.25">
      <c r="B36" s="546" t="s">
        <v>250</v>
      </c>
      <c r="C36" s="547">
        <v>0</v>
      </c>
      <c r="D36" s="547">
        <v>23218959</v>
      </c>
      <c r="E36" s="547">
        <v>23591925</v>
      </c>
      <c r="F36" s="547">
        <v>5070842</v>
      </c>
      <c r="G36" s="547">
        <v>5152922</v>
      </c>
      <c r="H36" s="547">
        <v>4269818</v>
      </c>
      <c r="I36" s="547">
        <v>4355214</v>
      </c>
      <c r="J36" s="547">
        <v>0</v>
      </c>
      <c r="K36" s="547">
        <v>0</v>
      </c>
      <c r="L36" s="547">
        <v>65659680</v>
      </c>
    </row>
    <row r="37" spans="2:12" x14ac:dyDescent="0.25">
      <c r="B37" s="548" t="s">
        <v>251</v>
      </c>
      <c r="C37" s="549">
        <v>0</v>
      </c>
      <c r="D37" s="549">
        <v>4911478</v>
      </c>
      <c r="E37" s="549">
        <v>4990372</v>
      </c>
      <c r="F37" s="549">
        <v>5070842</v>
      </c>
      <c r="G37" s="549">
        <v>5152922</v>
      </c>
      <c r="H37" s="549">
        <v>4269818</v>
      </c>
      <c r="I37" s="549">
        <v>4355214</v>
      </c>
      <c r="J37" s="549">
        <v>0</v>
      </c>
      <c r="K37" s="549">
        <v>0</v>
      </c>
      <c r="L37" s="549">
        <v>28750646</v>
      </c>
    </row>
    <row r="38" spans="2:12" x14ac:dyDescent="0.25">
      <c r="B38" s="548" t="s">
        <v>252</v>
      </c>
      <c r="C38" s="549">
        <v>0</v>
      </c>
      <c r="D38" s="549">
        <v>18307481</v>
      </c>
      <c r="E38" s="549">
        <v>18601553</v>
      </c>
      <c r="F38" s="549">
        <v>0</v>
      </c>
      <c r="G38" s="549">
        <v>0</v>
      </c>
      <c r="H38" s="549">
        <v>0</v>
      </c>
      <c r="I38" s="549">
        <v>0</v>
      </c>
      <c r="J38" s="549">
        <v>0</v>
      </c>
      <c r="K38" s="549">
        <v>0</v>
      </c>
      <c r="L38" s="549">
        <v>36909034</v>
      </c>
    </row>
    <row r="39" spans="2:12" x14ac:dyDescent="0.25">
      <c r="B39" s="546" t="s">
        <v>253</v>
      </c>
      <c r="C39" s="547">
        <v>0</v>
      </c>
      <c r="D39" s="547">
        <v>0</v>
      </c>
      <c r="E39" s="547">
        <v>0</v>
      </c>
      <c r="F39" s="547">
        <v>0</v>
      </c>
      <c r="G39" s="547">
        <v>23218959</v>
      </c>
      <c r="H39" s="547">
        <v>46810884</v>
      </c>
      <c r="I39" s="547">
        <v>51881726</v>
      </c>
      <c r="J39" s="547">
        <v>57034648</v>
      </c>
      <c r="K39" s="547">
        <v>65659680</v>
      </c>
      <c r="L39" s="550" t="s">
        <v>254</v>
      </c>
    </row>
    <row r="40" spans="2:12" x14ac:dyDescent="0.25">
      <c r="B40" s="546" t="s">
        <v>255</v>
      </c>
      <c r="C40" s="551">
        <v>0</v>
      </c>
      <c r="D40" s="551">
        <v>0</v>
      </c>
      <c r="E40" s="551">
        <v>0</v>
      </c>
      <c r="F40" s="551">
        <v>0</v>
      </c>
      <c r="G40" s="551">
        <v>0.35362583247435869</v>
      </c>
      <c r="H40" s="551">
        <v>0.71293195458765557</v>
      </c>
      <c r="I40" s="551">
        <v>0.79016111561920499</v>
      </c>
      <c r="J40" s="551">
        <v>0.86864035889300706</v>
      </c>
      <c r="K40" s="551">
        <v>1</v>
      </c>
      <c r="L40" s="552" t="s">
        <v>254</v>
      </c>
    </row>
    <row r="41" spans="2:12" x14ac:dyDescent="0.25">
      <c r="B41" s="544"/>
      <c r="C41" s="544"/>
      <c r="D41" s="544"/>
      <c r="E41" s="544"/>
      <c r="F41" s="544"/>
      <c r="G41" s="544"/>
      <c r="H41" s="544"/>
      <c r="I41" s="544"/>
      <c r="J41" s="544"/>
      <c r="K41" s="544"/>
      <c r="L41" s="544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DA58A-7961-4E57-83AA-709CCE5DA1BE}">
  <sheetPr>
    <tabColor theme="4" tint="-0.249977111117893"/>
  </sheetPr>
  <dimension ref="A2:R59"/>
  <sheetViews>
    <sheetView zoomScale="70" workbookViewId="0">
      <selection activeCell="E52" sqref="E52"/>
    </sheetView>
  </sheetViews>
  <sheetFormatPr defaultRowHeight="15" x14ac:dyDescent="0.25"/>
  <cols>
    <col min="1" max="1" width="17.7109375" style="479" bestFit="1" customWidth="1"/>
    <col min="2" max="2" width="22.7109375" style="479" bestFit="1" customWidth="1"/>
    <col min="3" max="3" width="19" style="479" bestFit="1" customWidth="1"/>
    <col min="4" max="4" width="21.85546875" style="479" bestFit="1" customWidth="1"/>
    <col min="5" max="5" width="19.5703125" style="479" bestFit="1" customWidth="1"/>
    <col min="6" max="6" width="19.85546875" style="479" bestFit="1" customWidth="1"/>
    <col min="7" max="7" width="17.85546875" style="479" bestFit="1" customWidth="1"/>
    <col min="8" max="8" width="19.5703125" style="479" customWidth="1"/>
    <col min="9" max="9" width="16.7109375" style="479" bestFit="1" customWidth="1"/>
    <col min="10" max="10" width="19.5703125" style="479" customWidth="1"/>
    <col min="11" max="11" width="16.28515625" style="479" customWidth="1"/>
    <col min="12" max="12" width="19.42578125" style="479" bestFit="1" customWidth="1"/>
    <col min="13" max="13" width="19.5703125" style="479" bestFit="1" customWidth="1"/>
    <col min="14" max="14" width="9.140625" style="479"/>
    <col min="15" max="15" width="18.42578125" style="479" bestFit="1" customWidth="1"/>
    <col min="16" max="16" width="20.140625" style="479" bestFit="1" customWidth="1"/>
    <col min="17" max="17" width="16.140625" style="479" bestFit="1" customWidth="1"/>
    <col min="18" max="18" width="17" style="479" bestFit="1" customWidth="1"/>
    <col min="19" max="16384" width="9.140625" style="479"/>
  </cols>
  <sheetData>
    <row r="2" spans="1:14" x14ac:dyDescent="0.25">
      <c r="A2" s="559" t="s">
        <v>260</v>
      </c>
    </row>
    <row r="3" spans="1:14" x14ac:dyDescent="0.25">
      <c r="A3" s="560" t="s">
        <v>2</v>
      </c>
      <c r="B3" s="561" t="s">
        <v>261</v>
      </c>
      <c r="C3" s="562">
        <v>2021</v>
      </c>
      <c r="D3" s="562" t="s">
        <v>262</v>
      </c>
      <c r="E3" s="562" t="s">
        <v>263</v>
      </c>
      <c r="F3" s="562" t="s">
        <v>264</v>
      </c>
      <c r="G3" s="562" t="s">
        <v>265</v>
      </c>
      <c r="H3" s="562" t="s">
        <v>266</v>
      </c>
      <c r="I3" s="562" t="s">
        <v>267</v>
      </c>
      <c r="J3" s="562" t="s">
        <v>268</v>
      </c>
      <c r="K3" s="562" t="s">
        <v>269</v>
      </c>
      <c r="L3" s="563" t="s">
        <v>212</v>
      </c>
    </row>
    <row r="4" spans="1:14" x14ac:dyDescent="0.25">
      <c r="A4" s="564" t="s">
        <v>270</v>
      </c>
      <c r="B4" s="565"/>
      <c r="C4" s="566">
        <v>0</v>
      </c>
      <c r="D4" s="566">
        <v>122786956</v>
      </c>
      <c r="E4" s="566">
        <v>124759282</v>
      </c>
      <c r="F4" s="566">
        <v>126771054</v>
      </c>
      <c r="G4" s="566">
        <v>128823060</v>
      </c>
      <c r="H4" s="566">
        <v>53372724</v>
      </c>
      <c r="I4" s="566">
        <v>53372725</v>
      </c>
      <c r="J4" s="566">
        <v>54440179</v>
      </c>
      <c r="K4" s="566">
        <v>54440179</v>
      </c>
      <c r="L4" s="567">
        <v>718766159</v>
      </c>
      <c r="N4" s="480"/>
    </row>
    <row r="5" spans="1:14" x14ac:dyDescent="0.25">
      <c r="A5" s="564" t="s">
        <v>271</v>
      </c>
      <c r="B5" s="565"/>
      <c r="C5" s="568">
        <v>0</v>
      </c>
      <c r="D5" s="568">
        <v>457687013</v>
      </c>
      <c r="E5" s="568">
        <v>465038836</v>
      </c>
      <c r="F5" s="568">
        <v>0</v>
      </c>
      <c r="G5" s="568">
        <v>0</v>
      </c>
      <c r="H5" s="568">
        <v>0</v>
      </c>
      <c r="I5" s="568">
        <v>0</v>
      </c>
      <c r="J5" s="568">
        <v>0</v>
      </c>
      <c r="K5" s="568">
        <v>0</v>
      </c>
      <c r="L5" s="567">
        <v>922725849</v>
      </c>
      <c r="N5" s="480"/>
    </row>
    <row r="6" spans="1:14" x14ac:dyDescent="0.25">
      <c r="A6" s="569" t="s">
        <v>212</v>
      </c>
      <c r="B6" s="570"/>
      <c r="C6" s="571">
        <v>0</v>
      </c>
      <c r="D6" s="571">
        <v>580473969</v>
      </c>
      <c r="E6" s="571">
        <v>589798118</v>
      </c>
      <c r="F6" s="571">
        <v>126771054</v>
      </c>
      <c r="G6" s="571">
        <v>128823060</v>
      </c>
      <c r="H6" s="571">
        <v>53372724</v>
      </c>
      <c r="I6" s="571">
        <v>53372725</v>
      </c>
      <c r="J6" s="571">
        <v>54440179</v>
      </c>
      <c r="K6" s="571">
        <v>54440179</v>
      </c>
      <c r="L6" s="572">
        <v>1641492008</v>
      </c>
    </row>
    <row r="8" spans="1:14" x14ac:dyDescent="0.25">
      <c r="B8" s="573" t="s">
        <v>272</v>
      </c>
      <c r="C8" s="574">
        <v>2021</v>
      </c>
      <c r="D8" s="574">
        <v>2022</v>
      </c>
      <c r="E8" s="574">
        <v>2023</v>
      </c>
      <c r="F8" s="574">
        <v>2024</v>
      </c>
      <c r="G8" s="574">
        <v>2025</v>
      </c>
      <c r="H8" s="574" t="s">
        <v>266</v>
      </c>
      <c r="I8" s="574" t="s">
        <v>267</v>
      </c>
      <c r="J8" s="574" t="s">
        <v>268</v>
      </c>
      <c r="K8" s="574" t="s">
        <v>269</v>
      </c>
      <c r="L8" s="574" t="s">
        <v>212</v>
      </c>
    </row>
    <row r="9" spans="1:14" x14ac:dyDescent="0.25">
      <c r="B9" s="575" t="s">
        <v>273</v>
      </c>
      <c r="C9" s="576">
        <f>C6</f>
        <v>0</v>
      </c>
      <c r="D9" s="577">
        <f t="shared" ref="D9:K9" si="0">D10+D11</f>
        <v>557255010</v>
      </c>
      <c r="E9" s="577">
        <f t="shared" si="0"/>
        <v>566206193</v>
      </c>
      <c r="F9" s="577">
        <f t="shared" si="0"/>
        <v>121700212</v>
      </c>
      <c r="G9" s="577">
        <f t="shared" si="0"/>
        <v>123670138</v>
      </c>
      <c r="H9" s="577">
        <f t="shared" si="0"/>
        <v>51237815</v>
      </c>
      <c r="I9" s="577">
        <f t="shared" si="0"/>
        <v>51237816</v>
      </c>
      <c r="J9" s="577">
        <f t="shared" si="0"/>
        <v>52262572</v>
      </c>
      <c r="K9" s="577">
        <f t="shared" si="0"/>
        <v>52262572</v>
      </c>
      <c r="L9" s="577">
        <f t="shared" ref="L9:L15" si="1">SUM(C9:K9)</f>
        <v>1575832328</v>
      </c>
    </row>
    <row r="10" spans="1:14" x14ac:dyDescent="0.25">
      <c r="B10" s="578" t="s">
        <v>251</v>
      </c>
      <c r="C10" s="579">
        <v>0</v>
      </c>
      <c r="D10" s="580">
        <f t="shared" ref="D10:K11" si="2">D4-ROUND(D4*0.04,0)</f>
        <v>117875478</v>
      </c>
      <c r="E10" s="580">
        <f>E4-ROUND(E4*0.04,0)-1</f>
        <v>119768910</v>
      </c>
      <c r="F10" s="580">
        <f t="shared" si="2"/>
        <v>121700212</v>
      </c>
      <c r="G10" s="580">
        <f t="shared" si="2"/>
        <v>123670138</v>
      </c>
      <c r="H10" s="580">
        <f t="shared" si="2"/>
        <v>51237815</v>
      </c>
      <c r="I10" s="580">
        <f t="shared" si="2"/>
        <v>51237816</v>
      </c>
      <c r="J10" s="580">
        <f t="shared" si="2"/>
        <v>52262572</v>
      </c>
      <c r="K10" s="580">
        <f t="shared" si="2"/>
        <v>52262572</v>
      </c>
      <c r="L10" s="581">
        <f t="shared" si="1"/>
        <v>690015513</v>
      </c>
    </row>
    <row r="11" spans="1:14" x14ac:dyDescent="0.25">
      <c r="B11" s="578" t="s">
        <v>252</v>
      </c>
      <c r="C11" s="579">
        <v>0</v>
      </c>
      <c r="D11" s="580">
        <f t="shared" si="2"/>
        <v>439379532</v>
      </c>
      <c r="E11" s="580">
        <f>E5-ROUND(E5*0.04,0)</f>
        <v>446437283</v>
      </c>
      <c r="F11" s="580">
        <f t="shared" si="2"/>
        <v>0</v>
      </c>
      <c r="G11" s="580">
        <f t="shared" si="2"/>
        <v>0</v>
      </c>
      <c r="H11" s="580">
        <f t="shared" si="2"/>
        <v>0</v>
      </c>
      <c r="I11" s="580">
        <f t="shared" si="2"/>
        <v>0</v>
      </c>
      <c r="J11" s="580">
        <f t="shared" si="2"/>
        <v>0</v>
      </c>
      <c r="K11" s="580">
        <f t="shared" si="2"/>
        <v>0</v>
      </c>
      <c r="L11" s="581">
        <f t="shared" si="1"/>
        <v>885816815</v>
      </c>
    </row>
    <row r="12" spans="1:14" x14ac:dyDescent="0.25">
      <c r="B12" s="575" t="s">
        <v>274</v>
      </c>
      <c r="C12" s="576">
        <v>0</v>
      </c>
      <c r="D12" s="577">
        <f t="shared" ref="D12:K12" si="3">D13+D14</f>
        <v>23218959</v>
      </c>
      <c r="E12" s="577">
        <f t="shared" si="3"/>
        <v>23591925</v>
      </c>
      <c r="F12" s="577">
        <f t="shared" si="3"/>
        <v>5070842</v>
      </c>
      <c r="G12" s="577">
        <f t="shared" si="3"/>
        <v>5152922</v>
      </c>
      <c r="H12" s="577">
        <f t="shared" si="3"/>
        <v>2134909</v>
      </c>
      <c r="I12" s="577">
        <f t="shared" si="3"/>
        <v>2134909</v>
      </c>
      <c r="J12" s="577">
        <f t="shared" si="3"/>
        <v>2177607</v>
      </c>
      <c r="K12" s="577">
        <f t="shared" si="3"/>
        <v>2177607</v>
      </c>
      <c r="L12" s="577">
        <f t="shared" si="1"/>
        <v>65659680</v>
      </c>
    </row>
    <row r="13" spans="1:14" x14ac:dyDescent="0.25">
      <c r="B13" s="578" t="s">
        <v>251</v>
      </c>
      <c r="C13" s="582">
        <v>0</v>
      </c>
      <c r="D13" s="583">
        <f t="shared" ref="D13:K14" si="4">ROUND(D4*0.04,0)</f>
        <v>4911478</v>
      </c>
      <c r="E13" s="583">
        <f>ROUND(E4*0.04,0)+1</f>
        <v>4990372</v>
      </c>
      <c r="F13" s="583">
        <f t="shared" si="4"/>
        <v>5070842</v>
      </c>
      <c r="G13" s="583">
        <f t="shared" si="4"/>
        <v>5152922</v>
      </c>
      <c r="H13" s="581">
        <f t="shared" si="4"/>
        <v>2134909</v>
      </c>
      <c r="I13" s="581">
        <f t="shared" si="4"/>
        <v>2134909</v>
      </c>
      <c r="J13" s="581">
        <f t="shared" si="4"/>
        <v>2177607</v>
      </c>
      <c r="K13" s="581">
        <f t="shared" si="4"/>
        <v>2177607</v>
      </c>
      <c r="L13" s="581">
        <f t="shared" si="1"/>
        <v>28750646</v>
      </c>
    </row>
    <row r="14" spans="1:14" x14ac:dyDescent="0.25">
      <c r="B14" s="578" t="s">
        <v>252</v>
      </c>
      <c r="C14" s="582">
        <v>0</v>
      </c>
      <c r="D14" s="583">
        <f t="shared" si="4"/>
        <v>18307481</v>
      </c>
      <c r="E14" s="583">
        <f>ROUND(E5*0.04,0)</f>
        <v>18601553</v>
      </c>
      <c r="F14" s="583">
        <f t="shared" si="4"/>
        <v>0</v>
      </c>
      <c r="G14" s="583">
        <f t="shared" si="4"/>
        <v>0</v>
      </c>
      <c r="H14" s="581">
        <f t="shared" si="4"/>
        <v>0</v>
      </c>
      <c r="I14" s="581">
        <f t="shared" si="4"/>
        <v>0</v>
      </c>
      <c r="J14" s="581">
        <f t="shared" si="4"/>
        <v>0</v>
      </c>
      <c r="K14" s="581">
        <f t="shared" si="4"/>
        <v>0</v>
      </c>
      <c r="L14" s="581">
        <f t="shared" si="1"/>
        <v>36909034</v>
      </c>
    </row>
    <row r="15" spans="1:14" x14ac:dyDescent="0.25">
      <c r="B15" s="575" t="s">
        <v>212</v>
      </c>
      <c r="C15" s="576">
        <f>C9-C12</f>
        <v>0</v>
      </c>
      <c r="D15" s="577">
        <f t="shared" ref="D15:K15" si="5">D9+D12</f>
        <v>580473969</v>
      </c>
      <c r="E15" s="577">
        <f t="shared" si="5"/>
        <v>589798118</v>
      </c>
      <c r="F15" s="577">
        <f t="shared" si="5"/>
        <v>126771054</v>
      </c>
      <c r="G15" s="577">
        <f t="shared" si="5"/>
        <v>128823060</v>
      </c>
      <c r="H15" s="577">
        <f t="shared" si="5"/>
        <v>53372724</v>
      </c>
      <c r="I15" s="577">
        <f t="shared" si="5"/>
        <v>53372725</v>
      </c>
      <c r="J15" s="577">
        <f t="shared" si="5"/>
        <v>54440179</v>
      </c>
      <c r="K15" s="577">
        <f t="shared" si="5"/>
        <v>54440179</v>
      </c>
      <c r="L15" s="577">
        <f t="shared" si="1"/>
        <v>1641492008</v>
      </c>
    </row>
    <row r="17" spans="2:13" x14ac:dyDescent="0.25">
      <c r="B17" s="559" t="s">
        <v>275</v>
      </c>
    </row>
    <row r="18" spans="2:13" x14ac:dyDescent="0.25">
      <c r="B18" s="584" t="s">
        <v>276</v>
      </c>
      <c r="C18" s="585" t="s">
        <v>277</v>
      </c>
      <c r="D18" s="585" t="s">
        <v>262</v>
      </c>
      <c r="E18" s="585" t="s">
        <v>263</v>
      </c>
      <c r="F18" s="585" t="s">
        <v>264</v>
      </c>
      <c r="G18" s="585" t="s">
        <v>265</v>
      </c>
      <c r="H18" s="585" t="s">
        <v>266</v>
      </c>
      <c r="I18" s="585" t="s">
        <v>267</v>
      </c>
      <c r="J18" s="585" t="s">
        <v>268</v>
      </c>
      <c r="K18" s="585" t="s">
        <v>269</v>
      </c>
      <c r="L18" s="586" t="s">
        <v>212</v>
      </c>
    </row>
    <row r="19" spans="2:13" x14ac:dyDescent="0.25">
      <c r="B19" s="587" t="s">
        <v>278</v>
      </c>
      <c r="C19" s="588">
        <f t="shared" ref="C19:K19" si="6">C20+C21</f>
        <v>0</v>
      </c>
      <c r="D19" s="588">
        <f t="shared" si="6"/>
        <v>85260017</v>
      </c>
      <c r="E19" s="588">
        <f t="shared" si="6"/>
        <v>86629548</v>
      </c>
      <c r="F19" s="588">
        <f t="shared" si="6"/>
        <v>18620132</v>
      </c>
      <c r="G19" s="588">
        <f t="shared" si="6"/>
        <v>18921531</v>
      </c>
      <c r="H19" s="588">
        <f t="shared" si="6"/>
        <v>7839385</v>
      </c>
      <c r="I19" s="588">
        <f t="shared" si="6"/>
        <v>7839386</v>
      </c>
      <c r="J19" s="588">
        <f t="shared" si="6"/>
        <v>7996173</v>
      </c>
      <c r="K19" s="588">
        <f t="shared" si="6"/>
        <v>7996173</v>
      </c>
      <c r="L19" s="589">
        <f>SUM(FP_TABLE[[#This Row],[2021]:[2027 (flexibilita)]])</f>
        <v>241102345</v>
      </c>
      <c r="M19" s="480"/>
    </row>
    <row r="20" spans="2:13" x14ac:dyDescent="0.25">
      <c r="B20" s="590" t="s">
        <v>251</v>
      </c>
      <c r="C20" s="591">
        <f t="shared" ref="C20:C21" si="7">ROUND(C10*0.153,0)</f>
        <v>0</v>
      </c>
      <c r="D20" s="591">
        <f>ROUND(D10*0.153,0)</f>
        <v>18034948</v>
      </c>
      <c r="E20" s="591">
        <f>ROUND(E10*0.153,0)</f>
        <v>18324643</v>
      </c>
      <c r="F20" s="591">
        <f t="shared" ref="F20:G21" si="8">ROUND(F10*0.153,0)</f>
        <v>18620132</v>
      </c>
      <c r="G20" s="591">
        <f t="shared" si="8"/>
        <v>18921531</v>
      </c>
      <c r="H20" s="591">
        <f>ROUND(H10*0.153,0)-1</f>
        <v>7839385</v>
      </c>
      <c r="I20" s="591">
        <f t="shared" ref="I20:I21" si="9">ROUND(I10*0.153,0)</f>
        <v>7839386</v>
      </c>
      <c r="J20" s="591">
        <f>ROUND(J10*0.153,0)-1</f>
        <v>7996173</v>
      </c>
      <c r="K20" s="591">
        <f>ROUND(K10*0.153,0)-1</f>
        <v>7996173</v>
      </c>
      <c r="L20" s="592">
        <f>SUM(FP_TABLE[[#This Row],[2021]:[2027 (flexibilita)]])</f>
        <v>105572371</v>
      </c>
      <c r="M20" s="480"/>
    </row>
    <row r="21" spans="2:13" x14ac:dyDescent="0.25">
      <c r="B21" s="590" t="s">
        <v>252</v>
      </c>
      <c r="C21" s="591">
        <f t="shared" si="7"/>
        <v>0</v>
      </c>
      <c r="D21" s="591">
        <f>ROUND(D11*0.153,0)+1</f>
        <v>67225069</v>
      </c>
      <c r="E21" s="591">
        <f>ROUND(E11*0.153,0)+1</f>
        <v>68304905</v>
      </c>
      <c r="F21" s="591">
        <f t="shared" si="8"/>
        <v>0</v>
      </c>
      <c r="G21" s="591">
        <f t="shared" si="8"/>
        <v>0</v>
      </c>
      <c r="H21" s="591">
        <f>ROUND(H11*0.153,0)</f>
        <v>0</v>
      </c>
      <c r="I21" s="591">
        <f t="shared" si="9"/>
        <v>0</v>
      </c>
      <c r="J21" s="591">
        <f>ROUND(J11*0.153,0)</f>
        <v>0</v>
      </c>
      <c r="K21" s="591">
        <f>ROUND(K11*0.153,0)</f>
        <v>0</v>
      </c>
      <c r="L21" s="592">
        <f>SUM(FP_TABLE[[#This Row],[2021]:[2027 (flexibilita)]])</f>
        <v>135529974</v>
      </c>
      <c r="M21" s="480"/>
    </row>
    <row r="22" spans="2:13" x14ac:dyDescent="0.25">
      <c r="B22" s="587" t="s">
        <v>279</v>
      </c>
      <c r="C22" s="588">
        <f t="shared" ref="C22:K22" si="10">C23+C24</f>
        <v>0</v>
      </c>
      <c r="D22" s="588">
        <f t="shared" si="10"/>
        <v>215100434</v>
      </c>
      <c r="E22" s="588">
        <f t="shared" si="10"/>
        <v>218555590</v>
      </c>
      <c r="F22" s="588">
        <f t="shared" si="10"/>
        <v>46976282</v>
      </c>
      <c r="G22" s="588">
        <f t="shared" si="10"/>
        <v>47736673</v>
      </c>
      <c r="H22" s="588">
        <f t="shared" si="10"/>
        <v>19777797</v>
      </c>
      <c r="I22" s="588">
        <f t="shared" si="10"/>
        <v>19777797</v>
      </c>
      <c r="J22" s="588">
        <f t="shared" si="10"/>
        <v>20173353</v>
      </c>
      <c r="K22" s="588">
        <f t="shared" si="10"/>
        <v>20173353</v>
      </c>
      <c r="L22" s="589">
        <f>SUM(FP_TABLE[[#This Row],[2021]:[2027 (flexibilita)]])</f>
        <v>608271279</v>
      </c>
      <c r="M22" s="480"/>
    </row>
    <row r="23" spans="2:13" x14ac:dyDescent="0.25">
      <c r="B23" s="590" t="s">
        <v>251</v>
      </c>
      <c r="C23" s="591">
        <f t="shared" ref="C23:K24" si="11">ROUND(C10*0.386,0)</f>
        <v>0</v>
      </c>
      <c r="D23" s="591">
        <f t="shared" si="11"/>
        <v>45499935</v>
      </c>
      <c r="E23" s="591">
        <f t="shared" si="11"/>
        <v>46230799</v>
      </c>
      <c r="F23" s="591">
        <f t="shared" si="11"/>
        <v>46976282</v>
      </c>
      <c r="G23" s="591">
        <f t="shared" si="11"/>
        <v>47736673</v>
      </c>
      <c r="H23" s="591">
        <f t="shared" si="11"/>
        <v>19777797</v>
      </c>
      <c r="I23" s="591">
        <f t="shared" si="11"/>
        <v>19777797</v>
      </c>
      <c r="J23" s="591">
        <f t="shared" si="11"/>
        <v>20173353</v>
      </c>
      <c r="K23" s="591">
        <f t="shared" si="11"/>
        <v>20173353</v>
      </c>
      <c r="L23" s="592">
        <f>SUM(FP_TABLE[[#This Row],[2021]:[2027 (flexibilita)]])</f>
        <v>266345989</v>
      </c>
      <c r="M23" s="480"/>
    </row>
    <row r="24" spans="2:13" x14ac:dyDescent="0.25">
      <c r="B24" s="590" t="s">
        <v>252</v>
      </c>
      <c r="C24" s="591">
        <f t="shared" si="11"/>
        <v>0</v>
      </c>
      <c r="D24" s="591">
        <f t="shared" si="11"/>
        <v>169600499</v>
      </c>
      <c r="E24" s="591">
        <f t="shared" si="11"/>
        <v>172324791</v>
      </c>
      <c r="F24" s="591">
        <f t="shared" si="11"/>
        <v>0</v>
      </c>
      <c r="G24" s="591">
        <f t="shared" si="11"/>
        <v>0</v>
      </c>
      <c r="H24" s="591">
        <f t="shared" si="11"/>
        <v>0</v>
      </c>
      <c r="I24" s="591">
        <f t="shared" si="11"/>
        <v>0</v>
      </c>
      <c r="J24" s="591">
        <f t="shared" si="11"/>
        <v>0</v>
      </c>
      <c r="K24" s="591">
        <f t="shared" si="11"/>
        <v>0</v>
      </c>
      <c r="L24" s="592">
        <f>SUM(FP_TABLE[[#This Row],[2021]:[2027 (flexibilita)]])</f>
        <v>341925290</v>
      </c>
      <c r="M24" s="480"/>
    </row>
    <row r="25" spans="2:13" x14ac:dyDescent="0.25">
      <c r="B25" s="587" t="s">
        <v>280</v>
      </c>
      <c r="C25" s="588">
        <f t="shared" ref="C25:K25" si="12">C26+C27</f>
        <v>0</v>
      </c>
      <c r="D25" s="588">
        <f t="shared" si="12"/>
        <v>256894559</v>
      </c>
      <c r="E25" s="588">
        <f t="shared" si="12"/>
        <v>261021055</v>
      </c>
      <c r="F25" s="588">
        <f t="shared" si="12"/>
        <v>56103798</v>
      </c>
      <c r="G25" s="588">
        <f t="shared" si="12"/>
        <v>57011934</v>
      </c>
      <c r="H25" s="588">
        <f t="shared" si="12"/>
        <v>23620633</v>
      </c>
      <c r="I25" s="588">
        <f t="shared" si="12"/>
        <v>23620633</v>
      </c>
      <c r="J25" s="588">
        <f t="shared" si="12"/>
        <v>24093046</v>
      </c>
      <c r="K25" s="588">
        <f t="shared" si="12"/>
        <v>24093046</v>
      </c>
      <c r="L25" s="589">
        <f>SUM(FP_TABLE[[#This Row],[2021]:[2027 (flexibilita)]])</f>
        <v>726458704</v>
      </c>
      <c r="M25" s="480"/>
    </row>
    <row r="26" spans="2:13" x14ac:dyDescent="0.25">
      <c r="B26" s="590" t="s">
        <v>251</v>
      </c>
      <c r="C26" s="591">
        <f t="shared" ref="C26:K27" si="13">ROUND(C10*0.461,0)</f>
        <v>0</v>
      </c>
      <c r="D26" s="591">
        <f t="shared" si="13"/>
        <v>54340595</v>
      </c>
      <c r="E26" s="591">
        <f t="shared" si="13"/>
        <v>55213468</v>
      </c>
      <c r="F26" s="591">
        <f t="shared" si="13"/>
        <v>56103798</v>
      </c>
      <c r="G26" s="591">
        <f t="shared" si="13"/>
        <v>57011934</v>
      </c>
      <c r="H26" s="591">
        <f t="shared" si="13"/>
        <v>23620633</v>
      </c>
      <c r="I26" s="591">
        <f t="shared" si="13"/>
        <v>23620633</v>
      </c>
      <c r="J26" s="591">
        <f t="shared" si="13"/>
        <v>24093046</v>
      </c>
      <c r="K26" s="591">
        <f t="shared" si="13"/>
        <v>24093046</v>
      </c>
      <c r="L26" s="592">
        <f>SUM(FP_TABLE[[#This Row],[2021]:[2027 (flexibilita)]])</f>
        <v>318097153</v>
      </c>
    </row>
    <row r="27" spans="2:13" x14ac:dyDescent="0.25">
      <c r="B27" s="590" t="s">
        <v>252</v>
      </c>
      <c r="C27" s="591">
        <f t="shared" si="13"/>
        <v>0</v>
      </c>
      <c r="D27" s="591">
        <f t="shared" si="13"/>
        <v>202553964</v>
      </c>
      <c r="E27" s="591">
        <f t="shared" si="13"/>
        <v>205807587</v>
      </c>
      <c r="F27" s="591">
        <f t="shared" si="13"/>
        <v>0</v>
      </c>
      <c r="G27" s="591">
        <f t="shared" si="13"/>
        <v>0</v>
      </c>
      <c r="H27" s="591">
        <f t="shared" si="13"/>
        <v>0</v>
      </c>
      <c r="I27" s="591">
        <f t="shared" si="13"/>
        <v>0</v>
      </c>
      <c r="J27" s="591">
        <f t="shared" si="13"/>
        <v>0</v>
      </c>
      <c r="K27" s="591">
        <f t="shared" si="13"/>
        <v>0</v>
      </c>
      <c r="L27" s="592">
        <f>SUM(FP_TABLE[[#This Row],[2021]:[2027 (flexibilita)]])</f>
        <v>408361551</v>
      </c>
    </row>
    <row r="28" spans="2:13" x14ac:dyDescent="0.25">
      <c r="B28" s="587" t="s">
        <v>281</v>
      </c>
      <c r="C28" s="593">
        <f t="shared" ref="C28:K28" si="14">C29+C30</f>
        <v>0</v>
      </c>
      <c r="D28" s="593">
        <f t="shared" si="14"/>
        <v>23218959</v>
      </c>
      <c r="E28" s="593">
        <f t="shared" si="14"/>
        <v>23591925</v>
      </c>
      <c r="F28" s="593">
        <f t="shared" si="14"/>
        <v>5070842</v>
      </c>
      <c r="G28" s="593">
        <f t="shared" si="14"/>
        <v>5152922</v>
      </c>
      <c r="H28" s="593">
        <f t="shared" si="14"/>
        <v>2134909</v>
      </c>
      <c r="I28" s="593">
        <f t="shared" si="14"/>
        <v>2134909</v>
      </c>
      <c r="J28" s="593">
        <f t="shared" si="14"/>
        <v>2177607</v>
      </c>
      <c r="K28" s="593">
        <f t="shared" si="14"/>
        <v>2177607</v>
      </c>
      <c r="L28" s="589">
        <f>SUM(FP_TABLE[[#This Row],[2021]:[2027 (flexibilita)]])</f>
        <v>65659680</v>
      </c>
    </row>
    <row r="29" spans="2:13" x14ac:dyDescent="0.25">
      <c r="B29" s="590" t="s">
        <v>251</v>
      </c>
      <c r="C29" s="591">
        <f t="shared" ref="C29:K30" si="15">C13</f>
        <v>0</v>
      </c>
      <c r="D29" s="591">
        <f t="shared" si="15"/>
        <v>4911478</v>
      </c>
      <c r="E29" s="591">
        <f t="shared" si="15"/>
        <v>4990372</v>
      </c>
      <c r="F29" s="591">
        <f t="shared" si="15"/>
        <v>5070842</v>
      </c>
      <c r="G29" s="591">
        <f t="shared" si="15"/>
        <v>5152922</v>
      </c>
      <c r="H29" s="591">
        <f t="shared" si="15"/>
        <v>2134909</v>
      </c>
      <c r="I29" s="591">
        <f t="shared" si="15"/>
        <v>2134909</v>
      </c>
      <c r="J29" s="591">
        <f t="shared" si="15"/>
        <v>2177607</v>
      </c>
      <c r="K29" s="591">
        <f t="shared" si="15"/>
        <v>2177607</v>
      </c>
      <c r="L29" s="592">
        <f>SUM(FP_TABLE[[#This Row],[2021]:[2027 (flexibilita)]])</f>
        <v>28750646</v>
      </c>
    </row>
    <row r="30" spans="2:13" x14ac:dyDescent="0.25">
      <c r="B30" s="590" t="s">
        <v>252</v>
      </c>
      <c r="C30" s="591">
        <f t="shared" si="15"/>
        <v>0</v>
      </c>
      <c r="D30" s="591">
        <f t="shared" si="15"/>
        <v>18307481</v>
      </c>
      <c r="E30" s="591">
        <f t="shared" si="15"/>
        <v>18601553</v>
      </c>
      <c r="F30" s="591">
        <f t="shared" si="15"/>
        <v>0</v>
      </c>
      <c r="G30" s="591">
        <f t="shared" si="15"/>
        <v>0</v>
      </c>
      <c r="H30" s="591">
        <f t="shared" si="15"/>
        <v>0</v>
      </c>
      <c r="I30" s="591">
        <f t="shared" si="15"/>
        <v>0</v>
      </c>
      <c r="J30" s="591">
        <f t="shared" si="15"/>
        <v>0</v>
      </c>
      <c r="K30" s="591">
        <f t="shared" si="15"/>
        <v>0</v>
      </c>
      <c r="L30" s="592">
        <f>SUM(FP_TABLE[[#This Row],[2021]:[2027 (flexibilita)]])</f>
        <v>36909034</v>
      </c>
    </row>
    <row r="31" spans="2:13" x14ac:dyDescent="0.25">
      <c r="B31" s="594" t="s">
        <v>212</v>
      </c>
      <c r="C31" s="593">
        <f t="shared" ref="C31:K31" si="16">C19++C22+C25+C28</f>
        <v>0</v>
      </c>
      <c r="D31" s="593">
        <f t="shared" si="16"/>
        <v>580473969</v>
      </c>
      <c r="E31" s="593">
        <f t="shared" si="16"/>
        <v>589798118</v>
      </c>
      <c r="F31" s="593">
        <f t="shared" si="16"/>
        <v>126771054</v>
      </c>
      <c r="G31" s="593">
        <f t="shared" si="16"/>
        <v>128823060</v>
      </c>
      <c r="H31" s="593">
        <f t="shared" si="16"/>
        <v>53372724</v>
      </c>
      <c r="I31" s="593">
        <f t="shared" si="16"/>
        <v>53372725</v>
      </c>
      <c r="J31" s="593">
        <f t="shared" si="16"/>
        <v>54440179</v>
      </c>
      <c r="K31" s="593">
        <f t="shared" si="16"/>
        <v>54440179</v>
      </c>
      <c r="L31" s="589">
        <f>SUM(FP_TABLE[[#This Row],[2021]:[2027 (flexibilita)]])</f>
        <v>1641492008</v>
      </c>
    </row>
    <row r="34" spans="1:18" x14ac:dyDescent="0.25">
      <c r="A34" s="559" t="s">
        <v>282</v>
      </c>
      <c r="O34" s="559" t="s">
        <v>283</v>
      </c>
    </row>
    <row r="35" spans="1:18" ht="105" x14ac:dyDescent="0.25">
      <c r="A35" s="595" t="s">
        <v>284</v>
      </c>
      <c r="B35" s="595" t="s">
        <v>285</v>
      </c>
      <c r="C35" s="595" t="s">
        <v>286</v>
      </c>
      <c r="D35" s="595" t="s">
        <v>287</v>
      </c>
      <c r="E35" s="595" t="s">
        <v>288</v>
      </c>
      <c r="F35" s="595" t="s">
        <v>289</v>
      </c>
      <c r="G35" s="595" t="s">
        <v>290</v>
      </c>
      <c r="H35" s="595" t="s">
        <v>291</v>
      </c>
      <c r="I35" s="595" t="s">
        <v>292</v>
      </c>
      <c r="J35" s="595" t="s">
        <v>293</v>
      </c>
      <c r="K35" s="595" t="s">
        <v>294</v>
      </c>
      <c r="L35" s="595" t="s">
        <v>295</v>
      </c>
      <c r="M35" s="596"/>
      <c r="O35" s="597" t="s">
        <v>296</v>
      </c>
      <c r="P35" s="597" t="s">
        <v>297</v>
      </c>
      <c r="Q35" s="597" t="s">
        <v>298</v>
      </c>
      <c r="R35" s="597" t="s">
        <v>299</v>
      </c>
    </row>
    <row r="36" spans="1:18" x14ac:dyDescent="0.25">
      <c r="A36" s="598" t="s">
        <v>12</v>
      </c>
      <c r="B36" s="598" t="s">
        <v>278</v>
      </c>
      <c r="C36" s="598" t="s">
        <v>300</v>
      </c>
      <c r="D36" s="598" t="s">
        <v>270</v>
      </c>
      <c r="E36" s="598"/>
      <c r="F36" s="599">
        <f t="shared" ref="F36:F43" si="17">G36+H36</f>
        <v>105572371</v>
      </c>
      <c r="G36" s="599">
        <f>L20-H36</f>
        <v>89736812</v>
      </c>
      <c r="H36" s="599">
        <f>I20+K20</f>
        <v>15835559</v>
      </c>
      <c r="I36" s="600">
        <f t="shared" ref="I36:I43" si="18">J36+K36</f>
        <v>18630419</v>
      </c>
      <c r="J36" s="600">
        <f t="shared" ref="J36:K43" si="19">P36</f>
        <v>12420279</v>
      </c>
      <c r="K36" s="600">
        <f t="shared" si="19"/>
        <v>6210140</v>
      </c>
      <c r="L36" s="600">
        <f t="shared" ref="L36:L43" si="20">F36+I36</f>
        <v>124202790</v>
      </c>
      <c r="M36" s="601"/>
      <c r="O36" s="602">
        <f t="shared" ref="O36:O43" si="21">CEILING(F36/85*15,1)</f>
        <v>18630419</v>
      </c>
      <c r="P36" s="599">
        <f t="shared" ref="P36:P43" si="22">ROUND(O36*R36,0)</f>
        <v>12420279</v>
      </c>
      <c r="Q36" s="599">
        <f t="shared" ref="Q36:Q43" si="23">ROUND(O36-P36,0)</f>
        <v>6210140</v>
      </c>
      <c r="R36" s="603">
        <f t="shared" ref="R36:R41" si="24">2/3</f>
        <v>0.66666666666666663</v>
      </c>
    </row>
    <row r="37" spans="1:18" x14ac:dyDescent="0.25">
      <c r="A37" s="598" t="s">
        <v>12</v>
      </c>
      <c r="B37" s="598" t="s">
        <v>278</v>
      </c>
      <c r="C37" s="598" t="s">
        <v>300</v>
      </c>
      <c r="D37" s="598" t="s">
        <v>271</v>
      </c>
      <c r="E37" s="598"/>
      <c r="F37" s="599">
        <f t="shared" si="17"/>
        <v>135529974</v>
      </c>
      <c r="G37" s="599">
        <f>L21-H37</f>
        <v>135529974</v>
      </c>
      <c r="H37" s="599">
        <f>I21+K21</f>
        <v>0</v>
      </c>
      <c r="I37" s="600">
        <f t="shared" si="18"/>
        <v>23917055</v>
      </c>
      <c r="J37" s="600">
        <f t="shared" si="19"/>
        <v>15944703</v>
      </c>
      <c r="K37" s="600">
        <f t="shared" si="19"/>
        <v>7972352</v>
      </c>
      <c r="L37" s="600">
        <f t="shared" si="20"/>
        <v>159447029</v>
      </c>
      <c r="M37" s="601"/>
      <c r="O37" s="602">
        <f t="shared" si="21"/>
        <v>23917055</v>
      </c>
      <c r="P37" s="599">
        <f t="shared" si="22"/>
        <v>15944703</v>
      </c>
      <c r="Q37" s="599">
        <f t="shared" si="23"/>
        <v>7972352</v>
      </c>
      <c r="R37" s="603">
        <f t="shared" si="24"/>
        <v>0.66666666666666663</v>
      </c>
    </row>
    <row r="38" spans="1:18" x14ac:dyDescent="0.25">
      <c r="A38" s="598" t="s">
        <v>12</v>
      </c>
      <c r="B38" s="598" t="s">
        <v>279</v>
      </c>
      <c r="C38" s="598" t="s">
        <v>300</v>
      </c>
      <c r="D38" s="598" t="s">
        <v>270</v>
      </c>
      <c r="E38" s="598"/>
      <c r="F38" s="599">
        <f t="shared" si="17"/>
        <v>266345989</v>
      </c>
      <c r="G38" s="599">
        <f>L23-H38</f>
        <v>226394839</v>
      </c>
      <c r="H38" s="599">
        <f>I23+K23</f>
        <v>39951150</v>
      </c>
      <c r="I38" s="600">
        <f t="shared" si="18"/>
        <v>47002234</v>
      </c>
      <c r="J38" s="600">
        <f t="shared" si="19"/>
        <v>31334823</v>
      </c>
      <c r="K38" s="600">
        <f t="shared" si="19"/>
        <v>15667411</v>
      </c>
      <c r="L38" s="600">
        <f t="shared" si="20"/>
        <v>313348223</v>
      </c>
      <c r="M38" s="601"/>
      <c r="O38" s="602">
        <f t="shared" si="21"/>
        <v>47002234</v>
      </c>
      <c r="P38" s="599">
        <f t="shared" si="22"/>
        <v>31334823</v>
      </c>
      <c r="Q38" s="599">
        <f t="shared" si="23"/>
        <v>15667411</v>
      </c>
      <c r="R38" s="603">
        <f t="shared" si="24"/>
        <v>0.66666666666666663</v>
      </c>
    </row>
    <row r="39" spans="1:18" x14ac:dyDescent="0.25">
      <c r="A39" s="598" t="s">
        <v>12</v>
      </c>
      <c r="B39" s="598" t="s">
        <v>279</v>
      </c>
      <c r="C39" s="598" t="s">
        <v>300</v>
      </c>
      <c r="D39" s="598" t="s">
        <v>271</v>
      </c>
      <c r="E39" s="598"/>
      <c r="F39" s="599">
        <f t="shared" si="17"/>
        <v>341925290</v>
      </c>
      <c r="G39" s="599">
        <f>L24-H39</f>
        <v>341925290</v>
      </c>
      <c r="H39" s="599">
        <f>I24+K24</f>
        <v>0</v>
      </c>
      <c r="I39" s="600">
        <f t="shared" si="18"/>
        <v>60339758</v>
      </c>
      <c r="J39" s="600">
        <f t="shared" si="19"/>
        <v>40226505</v>
      </c>
      <c r="K39" s="600">
        <f t="shared" si="19"/>
        <v>20113253</v>
      </c>
      <c r="L39" s="600">
        <f t="shared" si="20"/>
        <v>402265048</v>
      </c>
      <c r="M39" s="601"/>
      <c r="O39" s="602">
        <f t="shared" si="21"/>
        <v>60339758</v>
      </c>
      <c r="P39" s="599">
        <f t="shared" si="22"/>
        <v>40226505</v>
      </c>
      <c r="Q39" s="599">
        <f t="shared" si="23"/>
        <v>20113253</v>
      </c>
      <c r="R39" s="603">
        <f t="shared" si="24"/>
        <v>0.66666666666666663</v>
      </c>
    </row>
    <row r="40" spans="1:18" x14ac:dyDescent="0.25">
      <c r="A40" s="598" t="s">
        <v>12</v>
      </c>
      <c r="B40" s="598" t="s">
        <v>280</v>
      </c>
      <c r="C40" s="598" t="s">
        <v>300</v>
      </c>
      <c r="D40" s="598" t="s">
        <v>270</v>
      </c>
      <c r="E40" s="598"/>
      <c r="F40" s="599">
        <f t="shared" si="17"/>
        <v>318097153</v>
      </c>
      <c r="G40" s="599">
        <f>L26-H40</f>
        <v>270383474</v>
      </c>
      <c r="H40" s="599">
        <f>I26+K26</f>
        <v>47713679</v>
      </c>
      <c r="I40" s="600">
        <f t="shared" si="18"/>
        <v>56134792</v>
      </c>
      <c r="J40" s="600">
        <f t="shared" si="19"/>
        <v>37423195</v>
      </c>
      <c r="K40" s="600">
        <f t="shared" si="19"/>
        <v>18711597</v>
      </c>
      <c r="L40" s="600">
        <f t="shared" si="20"/>
        <v>374231945</v>
      </c>
      <c r="M40" s="601"/>
      <c r="O40" s="602">
        <f t="shared" si="21"/>
        <v>56134792</v>
      </c>
      <c r="P40" s="599">
        <f t="shared" si="22"/>
        <v>37423195</v>
      </c>
      <c r="Q40" s="599">
        <f t="shared" si="23"/>
        <v>18711597</v>
      </c>
      <c r="R40" s="603">
        <f t="shared" si="24"/>
        <v>0.66666666666666663</v>
      </c>
    </row>
    <row r="41" spans="1:18" x14ac:dyDescent="0.25">
      <c r="A41" s="598" t="s">
        <v>12</v>
      </c>
      <c r="B41" s="598" t="s">
        <v>280</v>
      </c>
      <c r="C41" s="598" t="s">
        <v>300</v>
      </c>
      <c r="D41" s="598" t="s">
        <v>271</v>
      </c>
      <c r="E41" s="598"/>
      <c r="F41" s="599">
        <f t="shared" si="17"/>
        <v>408361551</v>
      </c>
      <c r="G41" s="599">
        <f>L27-H41</f>
        <v>408361551</v>
      </c>
      <c r="H41" s="599">
        <f>I27+K27</f>
        <v>0</v>
      </c>
      <c r="I41" s="600">
        <f t="shared" si="18"/>
        <v>72063804</v>
      </c>
      <c r="J41" s="600">
        <f t="shared" si="19"/>
        <v>48042536</v>
      </c>
      <c r="K41" s="600">
        <f t="shared" si="19"/>
        <v>24021268</v>
      </c>
      <c r="L41" s="600">
        <f t="shared" si="20"/>
        <v>480425355</v>
      </c>
      <c r="M41" s="601"/>
      <c r="O41" s="602">
        <f t="shared" si="21"/>
        <v>72063804</v>
      </c>
      <c r="P41" s="599">
        <f t="shared" si="22"/>
        <v>48042536</v>
      </c>
      <c r="Q41" s="599">
        <f t="shared" si="23"/>
        <v>24021268</v>
      </c>
      <c r="R41" s="603">
        <f t="shared" si="24"/>
        <v>0.66666666666666663</v>
      </c>
    </row>
    <row r="42" spans="1:18" x14ac:dyDescent="0.25">
      <c r="A42" s="598" t="s">
        <v>301</v>
      </c>
      <c r="B42" s="598" t="s">
        <v>281</v>
      </c>
      <c r="C42" s="598" t="s">
        <v>300</v>
      </c>
      <c r="D42" s="598" t="s">
        <v>270</v>
      </c>
      <c r="E42" s="598"/>
      <c r="F42" s="599">
        <f t="shared" si="17"/>
        <v>28750646</v>
      </c>
      <c r="G42" s="599">
        <f>L29-H42</f>
        <v>24438130</v>
      </c>
      <c r="H42" s="599">
        <f>I29+K29</f>
        <v>4312516</v>
      </c>
      <c r="I42" s="600">
        <f t="shared" si="18"/>
        <v>5073644</v>
      </c>
      <c r="J42" s="600">
        <f t="shared" si="19"/>
        <v>5073644</v>
      </c>
      <c r="K42" s="600">
        <f t="shared" si="19"/>
        <v>0</v>
      </c>
      <c r="L42" s="600">
        <f t="shared" si="20"/>
        <v>33824290</v>
      </c>
      <c r="M42" s="601"/>
      <c r="O42" s="602">
        <f t="shared" si="21"/>
        <v>5073644</v>
      </c>
      <c r="P42" s="599">
        <f t="shared" si="22"/>
        <v>5073644</v>
      </c>
      <c r="Q42" s="599">
        <f t="shared" si="23"/>
        <v>0</v>
      </c>
      <c r="R42" s="603">
        <v>1</v>
      </c>
    </row>
    <row r="43" spans="1:18" x14ac:dyDescent="0.25">
      <c r="A43" s="598" t="s">
        <v>301</v>
      </c>
      <c r="B43" s="598" t="s">
        <v>281</v>
      </c>
      <c r="C43" s="598" t="s">
        <v>300</v>
      </c>
      <c r="D43" s="598" t="s">
        <v>271</v>
      </c>
      <c r="E43" s="598"/>
      <c r="F43" s="599">
        <f t="shared" si="17"/>
        <v>36909034</v>
      </c>
      <c r="G43" s="599">
        <f>L30-H43</f>
        <v>36909034</v>
      </c>
      <c r="H43" s="599">
        <f>I30+K30</f>
        <v>0</v>
      </c>
      <c r="I43" s="600">
        <f t="shared" si="18"/>
        <v>6513359</v>
      </c>
      <c r="J43" s="600">
        <f t="shared" si="19"/>
        <v>6513359</v>
      </c>
      <c r="K43" s="600">
        <f t="shared" si="19"/>
        <v>0</v>
      </c>
      <c r="L43" s="600">
        <f t="shared" si="20"/>
        <v>43422393</v>
      </c>
      <c r="M43" s="601"/>
      <c r="O43" s="602">
        <f t="shared" si="21"/>
        <v>6513359</v>
      </c>
      <c r="P43" s="599">
        <f t="shared" si="22"/>
        <v>6513359</v>
      </c>
      <c r="Q43" s="599">
        <f t="shared" si="23"/>
        <v>0</v>
      </c>
      <c r="R43" s="603">
        <v>1</v>
      </c>
    </row>
    <row r="45" spans="1:18" ht="75" x14ac:dyDescent="0.25">
      <c r="C45" s="604" t="s">
        <v>134</v>
      </c>
      <c r="D45" s="561" t="s">
        <v>287</v>
      </c>
      <c r="E45" s="561" t="s">
        <v>288</v>
      </c>
      <c r="F45" s="561" t="s">
        <v>289</v>
      </c>
      <c r="G45" s="561" t="s">
        <v>302</v>
      </c>
      <c r="H45" s="561" t="s">
        <v>303</v>
      </c>
      <c r="I45" s="561" t="s">
        <v>304</v>
      </c>
      <c r="J45" s="561" t="s">
        <v>293</v>
      </c>
      <c r="K45" s="561" t="s">
        <v>294</v>
      </c>
      <c r="L45" s="605" t="s">
        <v>295</v>
      </c>
      <c r="M45" s="606"/>
    </row>
    <row r="46" spans="1:18" x14ac:dyDescent="0.25">
      <c r="C46" s="607" t="s">
        <v>134</v>
      </c>
      <c r="D46" s="598" t="s">
        <v>270</v>
      </c>
      <c r="E46" s="598"/>
      <c r="F46" s="599">
        <f>SUMIF($D$36:$D$43,FP_TABLE_11b[[#This Row],[fond]],F$36:F$43)</f>
        <v>718766159</v>
      </c>
      <c r="G46" s="599">
        <f>SUMIF($D$36:$D$43,FP_TABLE_11b[[#This Row],[fond]],G$36:G$43)</f>
        <v>610953255</v>
      </c>
      <c r="H46" s="599">
        <f>SUMIF($D$36:$D$43,FP_TABLE_11b[[#This Row],[fond]],H$36:H$43)</f>
        <v>107812904</v>
      </c>
      <c r="I46" s="599">
        <f>SUMIF($D$36:$D$43,FP_TABLE_11b[[#This Row],[fond]],I$36:I$43)</f>
        <v>126841089</v>
      </c>
      <c r="J46" s="599">
        <f>SUMIF($D$36:$D$43,FP_TABLE_11b[[#This Row],[fond]],J$36:J$43)</f>
        <v>86251941</v>
      </c>
      <c r="K46" s="599">
        <f>SUMIF($D$36:$D$43,FP_TABLE_11b[[#This Row],[fond]],K$36:K$43)</f>
        <v>40589148</v>
      </c>
      <c r="L46" s="599">
        <f>SUMIF($D$36:$D$43,FP_TABLE_11b[[#This Row],[fond]],L$36:L$43)</f>
        <v>845607248</v>
      </c>
      <c r="M46" s="608"/>
    </row>
    <row r="47" spans="1:18" x14ac:dyDescent="0.25">
      <c r="C47" s="607" t="s">
        <v>134</v>
      </c>
      <c r="D47" s="598" t="s">
        <v>271</v>
      </c>
      <c r="E47" s="598"/>
      <c r="F47" s="599">
        <f>SUMIF($D$36:$D$43,FP_TABLE_11b[[#This Row],[fond]],F$36:F$43)</f>
        <v>922725849</v>
      </c>
      <c r="G47" s="599">
        <f>SUMIF($D$36:$D$43,FP_TABLE_11b[[#This Row],[fond]],G$36:G$43)</f>
        <v>922725849</v>
      </c>
      <c r="H47" s="599">
        <f>SUMIF($D$36:$D$43,FP_TABLE_11b[[#This Row],[fond]],H$36:H$43)</f>
        <v>0</v>
      </c>
      <c r="I47" s="599">
        <f>SUMIF($D$36:$D$43,FP_TABLE_11b[[#This Row],[fond]],I$36:I$43)</f>
        <v>162833976</v>
      </c>
      <c r="J47" s="599">
        <f>SUMIF($D$36:$D$43,FP_TABLE_11b[[#This Row],[fond]],J$36:J$43)</f>
        <v>110727103</v>
      </c>
      <c r="K47" s="599">
        <f>SUMIF($D$36:$D$43,FP_TABLE_11b[[#This Row],[fond]],K$36:K$43)</f>
        <v>52106873</v>
      </c>
      <c r="L47" s="599">
        <f>SUMIF($D$36:$D$43,FP_TABLE_11b[[#This Row],[fond]],L$36:L$43)</f>
        <v>1085559825</v>
      </c>
      <c r="M47" s="608"/>
    </row>
    <row r="48" spans="1:18" x14ac:dyDescent="0.25">
      <c r="C48" s="609" t="s">
        <v>134</v>
      </c>
      <c r="D48" s="610" t="s">
        <v>305</v>
      </c>
      <c r="E48" s="610"/>
      <c r="F48" s="611">
        <f t="shared" ref="F48:L48" si="25">SUM(F46:F47)</f>
        <v>1641492008</v>
      </c>
      <c r="G48" s="611">
        <f t="shared" si="25"/>
        <v>1533679104</v>
      </c>
      <c r="H48" s="611">
        <f t="shared" si="25"/>
        <v>107812904</v>
      </c>
      <c r="I48" s="611">
        <f t="shared" si="25"/>
        <v>289675065</v>
      </c>
      <c r="J48" s="611">
        <f t="shared" si="25"/>
        <v>196979044</v>
      </c>
      <c r="K48" s="611">
        <f t="shared" si="25"/>
        <v>92696021</v>
      </c>
      <c r="L48" s="612">
        <f t="shared" si="25"/>
        <v>1931167073</v>
      </c>
      <c r="M48" s="613"/>
    </row>
    <row r="51" spans="3:17" x14ac:dyDescent="0.25">
      <c r="N51" s="480"/>
    </row>
    <row r="54" spans="3:17" x14ac:dyDescent="0.25">
      <c r="N54" s="614"/>
      <c r="O54" s="615"/>
    </row>
    <row r="56" spans="3:17" x14ac:dyDescent="0.25">
      <c r="N56" s="480"/>
      <c r="O56" s="480"/>
      <c r="Q56" s="480"/>
    </row>
    <row r="57" spans="3:17" x14ac:dyDescent="0.25">
      <c r="N57" s="480"/>
      <c r="O57" s="480"/>
      <c r="P57" s="480"/>
      <c r="Q57" s="480"/>
    </row>
    <row r="58" spans="3:17" x14ac:dyDescent="0.25">
      <c r="C58" s="559"/>
      <c r="D58" s="559"/>
      <c r="E58" s="559"/>
      <c r="N58" s="616"/>
      <c r="O58" s="616"/>
      <c r="P58" s="480"/>
      <c r="Q58" s="480"/>
    </row>
    <row r="59" spans="3:17" x14ac:dyDescent="0.25">
      <c r="D59" s="616"/>
      <c r="E59" s="614"/>
      <c r="N59" s="480"/>
      <c r="O59" s="480"/>
      <c r="P59" s="480"/>
      <c r="Q59" s="480"/>
    </row>
  </sheetData>
  <pageMargins left="0.7" right="0.7" top="0.78740157500000008" bottom="0.78740157500000008" header="0.3" footer="0.3"/>
  <pageSetup paperSize="9" firstPageNumber="2147483648" orientation="portrait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D19D26"/>
    <pageSetUpPr fitToPage="1"/>
  </sheetPr>
  <dimension ref="A1:M79"/>
  <sheetViews>
    <sheetView tabSelected="1" topLeftCell="B4" zoomScale="70" workbookViewId="0">
      <selection activeCell="I41" sqref="I41"/>
    </sheetView>
  </sheetViews>
  <sheetFormatPr defaultRowHeight="15" outlineLevelCol="1" x14ac:dyDescent="0.25"/>
  <cols>
    <col min="1" max="1" width="16" hidden="1" customWidth="1"/>
    <col min="2" max="2" width="38.140625" bestFit="1" customWidth="1"/>
    <col min="3" max="3" width="16.28515625" bestFit="1" customWidth="1"/>
    <col min="4" max="4" width="18.5703125" bestFit="1" customWidth="1"/>
    <col min="5" max="5" width="42.140625" customWidth="1"/>
    <col min="6" max="6" width="20.5703125" customWidth="1" outlineLevel="1"/>
    <col min="7" max="7" width="21.5703125" customWidth="1" outlineLevel="1"/>
    <col min="8" max="8" width="17.85546875" customWidth="1" outlineLevel="1"/>
    <col min="9" max="9" width="25" customWidth="1" outlineLevel="1"/>
    <col min="10" max="10" width="30.140625" customWidth="1" outlineLevel="1" collapsed="1"/>
    <col min="11" max="11" width="25.7109375" customWidth="1" outlineLevel="1"/>
    <col min="12" max="12" width="18.85546875" customWidth="1"/>
    <col min="13" max="13" width="21.42578125" customWidth="1"/>
    <col min="14" max="14" width="48.28515625" customWidth="1"/>
    <col min="15" max="15" width="12" customWidth="1"/>
    <col min="16" max="16" width="11.42578125" customWidth="1"/>
    <col min="19" max="19" width="18.140625" customWidth="1"/>
    <col min="20" max="20" width="16.7109375" customWidth="1"/>
  </cols>
  <sheetData>
    <row r="1" spans="2:13" s="102" customFormat="1" x14ac:dyDescent="0.25"/>
    <row r="2" spans="2:13" s="102" customFormat="1" ht="36" x14ac:dyDescent="0.25">
      <c r="B2" s="634" t="s">
        <v>256</v>
      </c>
    </row>
    <row r="3" spans="2:13" s="102" customFormat="1" x14ac:dyDescent="0.25">
      <c r="B3" s="101"/>
      <c r="C3" s="35"/>
      <c r="D3" s="37"/>
      <c r="E3" s="45"/>
      <c r="F3" s="37"/>
      <c r="G3" s="38"/>
      <c r="H3" s="38"/>
      <c r="I3" s="38"/>
    </row>
    <row r="4" spans="2:13" s="102" customFormat="1" x14ac:dyDescent="0.25">
      <c r="B4" s="97"/>
      <c r="C4" s="469" t="s">
        <v>239</v>
      </c>
      <c r="D4" s="470">
        <v>24</v>
      </c>
      <c r="E4" s="541"/>
      <c r="F4" s="541"/>
      <c r="G4" s="541"/>
      <c r="H4" s="541"/>
      <c r="I4" s="541"/>
      <c r="J4" s="541"/>
      <c r="K4" s="541"/>
      <c r="L4" s="541"/>
      <c r="M4" s="541"/>
    </row>
    <row r="5" spans="2:13" s="102" customFormat="1" x14ac:dyDescent="0.25">
      <c r="B5" s="97"/>
      <c r="C5" s="444" t="s">
        <v>235</v>
      </c>
      <c r="D5" s="443" t="s">
        <v>234</v>
      </c>
      <c r="E5" s="451" t="s">
        <v>247</v>
      </c>
      <c r="F5" s="471" t="s">
        <v>240</v>
      </c>
      <c r="G5" s="472" t="s">
        <v>241</v>
      </c>
      <c r="H5" s="473" t="s">
        <v>242</v>
      </c>
      <c r="I5" s="474" t="s">
        <v>243</v>
      </c>
      <c r="J5" s="459" t="s">
        <v>248</v>
      </c>
    </row>
    <row r="6" spans="2:13" s="102" customFormat="1" ht="21" x14ac:dyDescent="0.35">
      <c r="B6" s="55" t="s">
        <v>55</v>
      </c>
      <c r="C6" s="56">
        <v>241102345</v>
      </c>
      <c r="D6" s="57">
        <f>C6*D4</f>
        <v>5786456280</v>
      </c>
      <c r="E6" s="445">
        <f>SUM(F6:I6)</f>
        <v>5221654000</v>
      </c>
      <c r="F6" s="445">
        <f>SUMIF($G$19:$G$41,"Vyhlášeno",$F$19:$F$41)+SUMIF($G$19:$G$41,"V plánu",$F$19:$F$41)</f>
        <v>4476654000</v>
      </c>
      <c r="G6" s="445">
        <f t="shared" ref="G6:H8" si="0">SUMIF($G$19:$G$41,G$5,$F$19:$F$41)</f>
        <v>295000000</v>
      </c>
      <c r="H6" s="445">
        <f t="shared" si="0"/>
        <v>450000000</v>
      </c>
      <c r="I6" s="445">
        <f>SUMIF($G$19:$G$40,I5,$F$19:$F$40)</f>
        <v>0</v>
      </c>
      <c r="J6" s="460">
        <f>E6-D6</f>
        <v>-564802280</v>
      </c>
    </row>
    <row r="7" spans="2:13" s="102" customFormat="1" ht="15.75" x14ac:dyDescent="0.25">
      <c r="B7" s="61" t="s">
        <v>56</v>
      </c>
      <c r="C7" s="62">
        <f>C6-C14</f>
        <v>225266786</v>
      </c>
      <c r="D7" s="63">
        <f>C7*D4</f>
        <v>5406402864</v>
      </c>
      <c r="E7" s="452">
        <f>SUM(F7:I7)</f>
        <v>5221654000</v>
      </c>
      <c r="F7" s="452">
        <f>SUMIF($G$19:$G$41,"Vyhlášeno",$F$19:$F$41)+SUMIF($G$19:$G$41,"V plánu",$F$19:$F$41)</f>
        <v>4476654000</v>
      </c>
      <c r="G7" s="461">
        <f t="shared" si="0"/>
        <v>295000000</v>
      </c>
      <c r="H7" s="461">
        <f t="shared" si="0"/>
        <v>450000000</v>
      </c>
      <c r="I7" s="461">
        <f>SUMIF($G$19:$G$40,I6,$F$19:$F$40)</f>
        <v>0</v>
      </c>
      <c r="J7" s="452">
        <f t="shared" ref="J7:J13" si="1">E7-D7</f>
        <v>-184748864</v>
      </c>
    </row>
    <row r="8" spans="2:13" s="102" customFormat="1" ht="15.75" x14ac:dyDescent="0.25">
      <c r="B8" s="65" t="s">
        <v>57</v>
      </c>
      <c r="C8" s="66">
        <f>C9+C10+C11</f>
        <v>209431228</v>
      </c>
      <c r="D8" s="67">
        <f>C8*D4</f>
        <v>5026349472</v>
      </c>
      <c r="E8" s="447">
        <f>SUM(F8:I8)</f>
        <v>5221654000</v>
      </c>
      <c r="F8" s="447">
        <f>SUMIF($G$19:$G$41,"Vyhlášeno",$F$19:$F$41)+SUMIF($G$19:$G$41,"V plánu",$F$19:$F$41)</f>
        <v>4476654000</v>
      </c>
      <c r="G8" s="461">
        <f t="shared" si="0"/>
        <v>295000000</v>
      </c>
      <c r="H8" s="461">
        <f t="shared" si="0"/>
        <v>450000000</v>
      </c>
      <c r="I8" s="461">
        <f>SUMIF($G$19:$G$40,I7,$F$19:$F$40)</f>
        <v>0</v>
      </c>
      <c r="J8" s="454">
        <f t="shared" si="1"/>
        <v>195304528</v>
      </c>
    </row>
    <row r="9" spans="2:13" s="102" customFormat="1" x14ac:dyDescent="0.25">
      <c r="B9" s="69" t="s">
        <v>58</v>
      </c>
      <c r="C9" s="70">
        <v>85260017</v>
      </c>
      <c r="D9" s="71">
        <f>C9*D4</f>
        <v>2046240408</v>
      </c>
      <c r="E9" s="447" t="s">
        <v>236</v>
      </c>
      <c r="F9" s="447" t="s">
        <v>236</v>
      </c>
      <c r="G9" s="447" t="s">
        <v>236</v>
      </c>
      <c r="H9" s="447" t="s">
        <v>236</v>
      </c>
      <c r="I9" s="447" t="s">
        <v>236</v>
      </c>
      <c r="J9" s="454" t="s">
        <v>236</v>
      </c>
    </row>
    <row r="10" spans="2:13" s="102" customFormat="1" x14ac:dyDescent="0.25">
      <c r="B10" s="69" t="s">
        <v>59</v>
      </c>
      <c r="C10" s="70">
        <v>86629548</v>
      </c>
      <c r="D10" s="71">
        <f>C10*D4</f>
        <v>2079109152</v>
      </c>
      <c r="E10" s="447" t="s">
        <v>236</v>
      </c>
      <c r="F10" s="447" t="s">
        <v>236</v>
      </c>
      <c r="G10" s="447" t="s">
        <v>236</v>
      </c>
      <c r="H10" s="447" t="s">
        <v>236</v>
      </c>
      <c r="I10" s="447" t="s">
        <v>236</v>
      </c>
      <c r="J10" s="454" t="s">
        <v>236</v>
      </c>
    </row>
    <row r="11" spans="2:13" s="102" customFormat="1" x14ac:dyDescent="0.25">
      <c r="B11" s="69" t="s">
        <v>60</v>
      </c>
      <c r="C11" s="70">
        <v>37541663</v>
      </c>
      <c r="D11" s="73">
        <f>C11*D4</f>
        <v>900999912</v>
      </c>
      <c r="E11" s="447" t="s">
        <v>236</v>
      </c>
      <c r="F11" s="447" t="s">
        <v>236</v>
      </c>
      <c r="G11" s="447" t="s">
        <v>236</v>
      </c>
      <c r="H11" s="447" t="s">
        <v>236</v>
      </c>
      <c r="I11" s="447" t="s">
        <v>236</v>
      </c>
      <c r="J11" s="454" t="s">
        <v>236</v>
      </c>
    </row>
    <row r="12" spans="2:13" s="102" customFormat="1" ht="15.75" x14ac:dyDescent="0.25">
      <c r="B12" s="65" t="s">
        <v>61</v>
      </c>
      <c r="C12" s="66">
        <f>C13+C14</f>
        <v>31671118</v>
      </c>
      <c r="D12" s="75">
        <f>C12*D4</f>
        <v>760106832</v>
      </c>
      <c r="E12" s="452">
        <f>SUM(F12:I12)</f>
        <v>0</v>
      </c>
      <c r="F12" s="452" t="s">
        <v>236</v>
      </c>
      <c r="G12" s="452" t="s">
        <v>236</v>
      </c>
      <c r="H12" s="452" t="s">
        <v>236</v>
      </c>
      <c r="I12" s="461">
        <f t="shared" ref="I12:I13" si="2">SUMIF($G$19:$G$39,I11,$F$19:$F$39)</f>
        <v>0</v>
      </c>
      <c r="J12" s="452">
        <f t="shared" si="1"/>
        <v>-760106832</v>
      </c>
    </row>
    <row r="13" spans="2:13" s="102" customFormat="1" x14ac:dyDescent="0.25">
      <c r="B13" s="69" t="s">
        <v>62</v>
      </c>
      <c r="C13" s="70">
        <v>15835559</v>
      </c>
      <c r="D13" s="73">
        <f>C13*D4</f>
        <v>380053416</v>
      </c>
      <c r="E13" s="478">
        <f>SUM(F13:I13)</f>
        <v>0</v>
      </c>
      <c r="F13" s="449" t="s">
        <v>236</v>
      </c>
      <c r="G13" s="449" t="s">
        <v>236</v>
      </c>
      <c r="H13" s="449" t="s">
        <v>236</v>
      </c>
      <c r="I13" s="478">
        <f t="shared" si="2"/>
        <v>0</v>
      </c>
      <c r="J13" s="456">
        <f t="shared" si="1"/>
        <v>-380053416</v>
      </c>
    </row>
    <row r="14" spans="2:13" s="102" customFormat="1" x14ac:dyDescent="0.25">
      <c r="B14" s="69" t="s">
        <v>63</v>
      </c>
      <c r="C14" s="70">
        <v>15835559</v>
      </c>
      <c r="D14" s="73">
        <f>C14*D4</f>
        <v>380053416</v>
      </c>
      <c r="E14" s="457" t="s">
        <v>236</v>
      </c>
      <c r="F14" s="457" t="s">
        <v>236</v>
      </c>
      <c r="G14" s="457" t="s">
        <v>236</v>
      </c>
      <c r="H14" s="457" t="s">
        <v>236</v>
      </c>
      <c r="I14" s="458"/>
      <c r="J14" s="456"/>
    </row>
    <row r="15" spans="2:13" s="102" customFormat="1" x14ac:dyDescent="0.25"/>
    <row r="16" spans="2:13" s="102" customFormat="1" x14ac:dyDescent="0.25"/>
    <row r="17" spans="1:9" s="102" customFormat="1" x14ac:dyDescent="0.25"/>
    <row r="18" spans="1:9" ht="35.25" customHeight="1" x14ac:dyDescent="0.25">
      <c r="A18" s="1" t="s">
        <v>0</v>
      </c>
      <c r="B18" s="626" t="s">
        <v>1</v>
      </c>
      <c r="C18" s="627" t="s">
        <v>2</v>
      </c>
      <c r="D18" s="627" t="s">
        <v>3</v>
      </c>
      <c r="E18" s="627" t="s">
        <v>4</v>
      </c>
      <c r="F18" s="628" t="s">
        <v>8</v>
      </c>
      <c r="G18" s="629" t="s">
        <v>9</v>
      </c>
      <c r="H18" t="s">
        <v>10</v>
      </c>
      <c r="I18" t="s">
        <v>310</v>
      </c>
    </row>
    <row r="19" spans="1:9" ht="18" customHeight="1" x14ac:dyDescent="0.25">
      <c r="A19" s="2">
        <v>2022</v>
      </c>
      <c r="B19" s="3" t="s">
        <v>11</v>
      </c>
      <c r="C19" s="4" t="s">
        <v>12</v>
      </c>
      <c r="D19" s="4" t="s">
        <v>13</v>
      </c>
      <c r="E19" s="5" t="s">
        <v>14</v>
      </c>
      <c r="F19" s="9">
        <v>2900000000</v>
      </c>
      <c r="G19" s="10" t="s">
        <v>15</v>
      </c>
    </row>
    <row r="20" spans="1:9" ht="18" customHeight="1" x14ac:dyDescent="0.25">
      <c r="A20" s="2">
        <v>2023</v>
      </c>
      <c r="B20" s="3" t="s">
        <v>16</v>
      </c>
      <c r="C20" s="4" t="s">
        <v>12</v>
      </c>
      <c r="D20" s="4" t="s">
        <v>17</v>
      </c>
      <c r="E20" s="11" t="s">
        <v>18</v>
      </c>
      <c r="F20" s="9">
        <v>330000000</v>
      </c>
      <c r="G20" s="10" t="s">
        <v>15</v>
      </c>
      <c r="H20" t="s">
        <v>19</v>
      </c>
    </row>
    <row r="21" spans="1:9" ht="18" customHeight="1" x14ac:dyDescent="0.25">
      <c r="A21" s="2">
        <v>2023</v>
      </c>
      <c r="B21" s="3" t="s">
        <v>20</v>
      </c>
      <c r="C21" s="4" t="s">
        <v>12</v>
      </c>
      <c r="D21" s="4" t="s">
        <v>17</v>
      </c>
      <c r="E21" s="11" t="s">
        <v>21</v>
      </c>
      <c r="F21" s="9">
        <v>280000000</v>
      </c>
      <c r="G21" s="10" t="s">
        <v>15</v>
      </c>
      <c r="H21" t="s">
        <v>19</v>
      </c>
    </row>
    <row r="22" spans="1:9" ht="18" customHeight="1" x14ac:dyDescent="0.25">
      <c r="A22" s="2">
        <v>2023</v>
      </c>
      <c r="B22" s="3" t="s">
        <v>22</v>
      </c>
      <c r="C22" s="4" t="s">
        <v>12</v>
      </c>
      <c r="D22" s="4" t="s">
        <v>17</v>
      </c>
      <c r="E22" s="11" t="s">
        <v>23</v>
      </c>
      <c r="F22" s="9">
        <v>100000000</v>
      </c>
      <c r="G22" s="10" t="s">
        <v>15</v>
      </c>
    </row>
    <row r="23" spans="1:9" ht="18" customHeight="1" x14ac:dyDescent="0.25">
      <c r="A23" s="2">
        <v>2023</v>
      </c>
      <c r="B23" s="3" t="s">
        <v>24</v>
      </c>
      <c r="C23" s="4" t="s">
        <v>12</v>
      </c>
      <c r="D23" s="4" t="s">
        <v>25</v>
      </c>
      <c r="E23" s="11" t="s">
        <v>26</v>
      </c>
      <c r="F23" s="9">
        <v>30000000</v>
      </c>
      <c r="G23" s="10" t="s">
        <v>15</v>
      </c>
    </row>
    <row r="24" spans="1:9" ht="18" customHeight="1" x14ac:dyDescent="0.25">
      <c r="A24" s="2">
        <v>2023</v>
      </c>
      <c r="B24" s="3" t="s">
        <v>24</v>
      </c>
      <c r="C24" s="4" t="s">
        <v>12</v>
      </c>
      <c r="D24" s="4" t="s">
        <v>27</v>
      </c>
      <c r="E24" s="11" t="s">
        <v>28</v>
      </c>
      <c r="F24" s="9">
        <v>200000000</v>
      </c>
      <c r="G24" s="10" t="s">
        <v>15</v>
      </c>
    </row>
    <row r="25" spans="1:9" ht="18" customHeight="1" x14ac:dyDescent="0.25">
      <c r="A25" s="2">
        <v>2023</v>
      </c>
      <c r="B25" s="3" t="s">
        <v>11</v>
      </c>
      <c r="C25" s="4" t="s">
        <v>12</v>
      </c>
      <c r="D25" s="4" t="s">
        <v>25</v>
      </c>
      <c r="E25" s="11" t="s">
        <v>29</v>
      </c>
      <c r="F25" s="9">
        <v>40000000</v>
      </c>
      <c r="G25" s="10" t="s">
        <v>30</v>
      </c>
    </row>
    <row r="26" spans="1:9" ht="18" customHeight="1" x14ac:dyDescent="0.25">
      <c r="A26" s="2">
        <v>2023</v>
      </c>
      <c r="B26" s="3" t="s">
        <v>16</v>
      </c>
      <c r="C26" s="4" t="s">
        <v>12</v>
      </c>
      <c r="D26" s="4" t="s">
        <v>17</v>
      </c>
      <c r="E26" s="11" t="s">
        <v>31</v>
      </c>
      <c r="F26" s="9">
        <v>60000000</v>
      </c>
      <c r="G26" s="187" t="s">
        <v>15</v>
      </c>
    </row>
    <row r="27" spans="1:9" ht="18" customHeight="1" x14ac:dyDescent="0.25">
      <c r="A27" s="2">
        <v>2023</v>
      </c>
      <c r="B27" s="3" t="s">
        <v>32</v>
      </c>
      <c r="C27" s="4" t="s">
        <v>12</v>
      </c>
      <c r="D27" s="4" t="s">
        <v>17</v>
      </c>
      <c r="E27" s="11" t="s">
        <v>33</v>
      </c>
      <c r="F27" s="9">
        <v>40000000</v>
      </c>
      <c r="G27" s="10" t="s">
        <v>15</v>
      </c>
    </row>
    <row r="28" spans="1:9" ht="18" customHeight="1" x14ac:dyDescent="0.25">
      <c r="A28" s="2">
        <v>2023</v>
      </c>
      <c r="B28" s="3" t="s">
        <v>32</v>
      </c>
      <c r="C28" s="4" t="s">
        <v>12</v>
      </c>
      <c r="D28" s="4" t="s">
        <v>17</v>
      </c>
      <c r="E28" s="11" t="s">
        <v>34</v>
      </c>
      <c r="F28" s="9">
        <v>60000000</v>
      </c>
      <c r="G28" s="10" t="s">
        <v>15</v>
      </c>
    </row>
    <row r="29" spans="1:9" ht="18" customHeight="1" x14ac:dyDescent="0.25">
      <c r="A29" s="2">
        <v>2023</v>
      </c>
      <c r="B29" s="3" t="s">
        <v>32</v>
      </c>
      <c r="C29" s="4" t="s">
        <v>12</v>
      </c>
      <c r="D29" s="4" t="s">
        <v>17</v>
      </c>
      <c r="E29" s="11" t="s">
        <v>35</v>
      </c>
      <c r="F29" s="9">
        <v>60000000</v>
      </c>
      <c r="G29" s="10" t="s">
        <v>15</v>
      </c>
    </row>
    <row r="30" spans="1:9" ht="18" customHeight="1" x14ac:dyDescent="0.25">
      <c r="A30" s="2">
        <v>2023</v>
      </c>
      <c r="B30" s="3" t="s">
        <v>32</v>
      </c>
      <c r="C30" s="4" t="s">
        <v>12</v>
      </c>
      <c r="D30" s="4"/>
      <c r="E30" s="11" t="s">
        <v>36</v>
      </c>
      <c r="F30" s="9">
        <v>220000000</v>
      </c>
      <c r="G30" s="187" t="s">
        <v>15</v>
      </c>
    </row>
    <row r="31" spans="1:9" ht="18" customHeight="1" x14ac:dyDescent="0.25">
      <c r="A31" s="2">
        <v>2023</v>
      </c>
      <c r="B31" s="12" t="s">
        <v>11</v>
      </c>
      <c r="C31" s="12" t="s">
        <v>12</v>
      </c>
      <c r="D31" s="13" t="s">
        <v>17</v>
      </c>
      <c r="E31" s="14" t="s">
        <v>37</v>
      </c>
      <c r="F31" s="9">
        <v>16654000</v>
      </c>
      <c r="G31" s="15" t="s">
        <v>15</v>
      </c>
    </row>
    <row r="32" spans="1:9" ht="18" customHeight="1" x14ac:dyDescent="0.25">
      <c r="A32" s="2">
        <v>2023</v>
      </c>
      <c r="B32" s="12" t="s">
        <v>24</v>
      </c>
      <c r="C32" s="12" t="s">
        <v>12</v>
      </c>
      <c r="D32" s="16" t="s">
        <v>25</v>
      </c>
      <c r="E32" s="14" t="s">
        <v>38</v>
      </c>
      <c r="F32" s="9">
        <v>50000000</v>
      </c>
      <c r="G32" s="477" t="s">
        <v>30</v>
      </c>
    </row>
    <row r="33" spans="1:12" ht="18" customHeight="1" x14ac:dyDescent="0.25">
      <c r="A33" s="18">
        <v>2025</v>
      </c>
      <c r="B33" s="636" t="s">
        <v>24</v>
      </c>
      <c r="C33" s="636" t="s">
        <v>12</v>
      </c>
      <c r="D33" s="637" t="s">
        <v>25</v>
      </c>
      <c r="E33" s="638" t="s">
        <v>39</v>
      </c>
      <c r="F33" s="639">
        <v>90000000</v>
      </c>
      <c r="G33" s="477" t="s">
        <v>30</v>
      </c>
      <c r="H33" t="s">
        <v>40</v>
      </c>
      <c r="I33" s="190" t="s">
        <v>147</v>
      </c>
    </row>
    <row r="34" spans="1:12" ht="18" customHeight="1" x14ac:dyDescent="0.25">
      <c r="A34" s="18">
        <v>2025</v>
      </c>
      <c r="B34" s="23" t="s">
        <v>11</v>
      </c>
      <c r="C34" s="24" t="s">
        <v>12</v>
      </c>
      <c r="D34" s="23" t="s">
        <v>25</v>
      </c>
      <c r="E34" s="25" t="s">
        <v>41</v>
      </c>
      <c r="F34" s="476">
        <v>40000000</v>
      </c>
      <c r="G34" s="539" t="s">
        <v>241</v>
      </c>
      <c r="H34" t="s">
        <v>42</v>
      </c>
    </row>
    <row r="35" spans="1:12" ht="18" customHeight="1" x14ac:dyDescent="0.25">
      <c r="A35" s="26">
        <v>2026</v>
      </c>
      <c r="B35" s="23" t="s">
        <v>24</v>
      </c>
      <c r="C35" s="24" t="s">
        <v>12</v>
      </c>
      <c r="D35" s="23" t="s">
        <v>27</v>
      </c>
      <c r="E35" s="25" t="s">
        <v>43</v>
      </c>
      <c r="F35" s="476">
        <v>200000000</v>
      </c>
      <c r="G35" s="539" t="s">
        <v>241</v>
      </c>
      <c r="H35" t="s">
        <v>44</v>
      </c>
    </row>
    <row r="36" spans="1:12" ht="18" customHeight="1" x14ac:dyDescent="0.25">
      <c r="A36" s="18">
        <v>2024</v>
      </c>
      <c r="B36" s="640" t="s">
        <v>45</v>
      </c>
      <c r="C36" s="640" t="s">
        <v>12</v>
      </c>
      <c r="D36" s="640" t="s">
        <v>17</v>
      </c>
      <c r="E36" s="640" t="s">
        <v>45</v>
      </c>
      <c r="F36" s="641">
        <v>50000000</v>
      </c>
      <c r="G36" s="640" t="s">
        <v>242</v>
      </c>
      <c r="H36" t="s">
        <v>46</v>
      </c>
    </row>
    <row r="37" spans="1:12" ht="18" customHeight="1" x14ac:dyDescent="0.25">
      <c r="A37" s="18">
        <v>2024</v>
      </c>
      <c r="B37" s="640" t="s">
        <v>47</v>
      </c>
      <c r="C37" s="640" t="s">
        <v>12</v>
      </c>
      <c r="D37" s="640"/>
      <c r="E37" s="640" t="s">
        <v>48</v>
      </c>
      <c r="F37" s="641">
        <v>100000000</v>
      </c>
      <c r="G37" s="640" t="s">
        <v>242</v>
      </c>
    </row>
    <row r="38" spans="1:12" ht="18" customHeight="1" x14ac:dyDescent="0.25">
      <c r="A38" s="18">
        <v>2024</v>
      </c>
      <c r="B38" s="19" t="s">
        <v>49</v>
      </c>
      <c r="C38" s="19" t="s">
        <v>12</v>
      </c>
      <c r="D38" s="20"/>
      <c r="E38" s="28" t="s">
        <v>50</v>
      </c>
      <c r="F38" s="476">
        <v>55000000</v>
      </c>
      <c r="G38" s="539" t="s">
        <v>241</v>
      </c>
      <c r="H38" t="s">
        <v>315</v>
      </c>
    </row>
    <row r="39" spans="1:12" ht="18" customHeight="1" x14ac:dyDescent="0.25">
      <c r="A39" s="18">
        <v>2025</v>
      </c>
      <c r="B39" s="19" t="s">
        <v>16</v>
      </c>
      <c r="C39" s="19" t="s">
        <v>12</v>
      </c>
      <c r="D39" s="20"/>
      <c r="E39" s="28" t="s">
        <v>51</v>
      </c>
      <c r="F39" s="476">
        <v>100000000</v>
      </c>
      <c r="G39" s="539" t="s">
        <v>242</v>
      </c>
    </row>
    <row r="40" spans="1:12" ht="18" customHeight="1" x14ac:dyDescent="0.25">
      <c r="B40" s="645" t="s">
        <v>16</v>
      </c>
      <c r="C40" s="642" t="s">
        <v>12</v>
      </c>
      <c r="D40" s="642"/>
      <c r="E40" s="642" t="s">
        <v>314</v>
      </c>
      <c r="F40" s="643">
        <v>100000000</v>
      </c>
      <c r="G40" s="644" t="s">
        <v>242</v>
      </c>
      <c r="H40" s="32" t="s">
        <v>316</v>
      </c>
      <c r="J40" s="33"/>
      <c r="K40" s="33"/>
      <c r="L40" s="34"/>
    </row>
    <row r="41" spans="1:12" x14ac:dyDescent="0.25">
      <c r="B41" s="645" t="s">
        <v>16</v>
      </c>
      <c r="C41" s="642" t="s">
        <v>12</v>
      </c>
      <c r="D41" s="642"/>
      <c r="E41" s="642" t="s">
        <v>313</v>
      </c>
      <c r="F41" s="643">
        <v>100000000</v>
      </c>
      <c r="G41" s="540" t="s">
        <v>242</v>
      </c>
      <c r="H41" s="32"/>
      <c r="J41" s="33"/>
      <c r="K41" s="33"/>
      <c r="L41" s="33"/>
    </row>
    <row r="42" spans="1:12" x14ac:dyDescent="0.25">
      <c r="B42" s="29"/>
      <c r="C42" s="29"/>
      <c r="D42" s="35"/>
      <c r="E42" s="31"/>
      <c r="F42" s="31"/>
      <c r="G42" s="32"/>
      <c r="H42" s="32"/>
      <c r="I42" s="32"/>
      <c r="J42" s="33"/>
      <c r="K42" s="33"/>
      <c r="L42" s="34"/>
    </row>
    <row r="43" spans="1:12" x14ac:dyDescent="0.25">
      <c r="B43" s="29"/>
      <c r="C43" s="29"/>
      <c r="D43" s="35"/>
      <c r="E43" s="31"/>
      <c r="F43" s="31"/>
      <c r="G43" s="32"/>
      <c r="H43" s="32"/>
      <c r="I43" s="32"/>
      <c r="J43" s="33"/>
      <c r="K43" s="33"/>
      <c r="L43" s="34"/>
    </row>
    <row r="44" spans="1:12" x14ac:dyDescent="0.25">
      <c r="B44" s="29"/>
      <c r="C44" s="29"/>
      <c r="D44" s="36"/>
      <c r="E44" s="37"/>
      <c r="F44" s="37"/>
      <c r="G44" s="38"/>
      <c r="H44" s="620" t="s">
        <v>312</v>
      </c>
      <c r="I44" s="38"/>
      <c r="J44" s="39"/>
      <c r="K44" s="39"/>
      <c r="L44" s="40"/>
    </row>
    <row r="45" spans="1:12" hidden="1" x14ac:dyDescent="0.25">
      <c r="B45" s="29"/>
      <c r="C45" s="29"/>
      <c r="D45" s="30"/>
      <c r="E45" s="41"/>
      <c r="F45" s="37"/>
      <c r="G45" s="38"/>
      <c r="H45" s="38"/>
      <c r="I45" s="38"/>
      <c r="J45" s="39"/>
      <c r="K45" s="39"/>
      <c r="L45" s="42"/>
    </row>
    <row r="46" spans="1:12" hidden="1" x14ac:dyDescent="0.25">
      <c r="B46" s="43" t="s">
        <v>52</v>
      </c>
      <c r="C46" s="35"/>
      <c r="D46" s="44"/>
      <c r="E46" s="45"/>
      <c r="F46" s="41"/>
      <c r="G46" s="46"/>
      <c r="H46" s="46"/>
      <c r="I46" s="46"/>
      <c r="J46" s="47"/>
      <c r="K46" s="47"/>
      <c r="L46" s="46"/>
    </row>
    <row r="47" spans="1:12" hidden="1" x14ac:dyDescent="0.25">
      <c r="B47" s="29"/>
      <c r="C47" s="48"/>
      <c r="D47" s="49">
        <v>24</v>
      </c>
      <c r="E47" s="45"/>
      <c r="F47" s="41"/>
      <c r="G47" s="46"/>
      <c r="H47" s="46"/>
      <c r="I47" s="46"/>
      <c r="J47" s="47"/>
      <c r="K47" s="47"/>
      <c r="L47" s="46"/>
    </row>
    <row r="48" spans="1:12" hidden="1" x14ac:dyDescent="0.25">
      <c r="B48" s="50"/>
      <c r="C48" s="51" t="s">
        <v>53</v>
      </c>
      <c r="D48" s="52" t="s">
        <v>54</v>
      </c>
      <c r="E48" s="53"/>
      <c r="F48" s="31"/>
      <c r="G48" s="32"/>
      <c r="H48" s="32"/>
      <c r="I48" s="32"/>
      <c r="J48" s="33"/>
      <c r="K48" s="33"/>
      <c r="L48" s="54"/>
    </row>
    <row r="49" spans="1:12" ht="21" hidden="1" x14ac:dyDescent="0.35">
      <c r="B49" s="55" t="s">
        <v>55</v>
      </c>
      <c r="C49" s="56">
        <v>241102345</v>
      </c>
      <c r="D49" s="57">
        <f>C49*D47</f>
        <v>5786456280</v>
      </c>
      <c r="E49" s="58"/>
      <c r="F49" s="31"/>
      <c r="G49" s="32"/>
      <c r="H49" s="32"/>
      <c r="I49" s="32"/>
      <c r="J49" s="59"/>
      <c r="K49" s="33"/>
      <c r="L49" s="60"/>
    </row>
    <row r="50" spans="1:12" ht="15.75" hidden="1" x14ac:dyDescent="0.25">
      <c r="B50" s="61" t="s">
        <v>56</v>
      </c>
      <c r="C50" s="62">
        <f>C49-C57</f>
        <v>225266786</v>
      </c>
      <c r="D50" s="63">
        <f>C50*D47</f>
        <v>5406402864</v>
      </c>
      <c r="E50" s="64"/>
      <c r="F50" s="31"/>
      <c r="G50" s="32"/>
      <c r="H50" s="32"/>
      <c r="I50" s="32"/>
      <c r="J50" s="59"/>
      <c r="K50" s="33"/>
      <c r="L50" s="60"/>
    </row>
    <row r="51" spans="1:12" hidden="1" x14ac:dyDescent="0.25">
      <c r="B51" s="65" t="s">
        <v>57</v>
      </c>
      <c r="C51" s="66">
        <f>C52+C53+C54</f>
        <v>209431228</v>
      </c>
      <c r="D51" s="67">
        <f>C51*D47</f>
        <v>5026349472</v>
      </c>
      <c r="E51" s="68"/>
    </row>
    <row r="52" spans="1:12" hidden="1" x14ac:dyDescent="0.25">
      <c r="B52" s="69" t="s">
        <v>58</v>
      </c>
      <c r="C52" s="70">
        <v>85260017</v>
      </c>
      <c r="D52" s="71">
        <f>C52*D47</f>
        <v>2046240408</v>
      </c>
      <c r="E52" s="72"/>
    </row>
    <row r="53" spans="1:12" hidden="1" x14ac:dyDescent="0.25">
      <c r="B53" s="69" t="s">
        <v>59</v>
      </c>
      <c r="C53" s="70">
        <v>86629548</v>
      </c>
      <c r="D53" s="71">
        <f>C53*D47</f>
        <v>2079109152</v>
      </c>
      <c r="E53" s="72"/>
    </row>
    <row r="54" spans="1:12" hidden="1" x14ac:dyDescent="0.25">
      <c r="B54" s="69" t="s">
        <v>60</v>
      </c>
      <c r="C54" s="70">
        <v>37541663</v>
      </c>
      <c r="D54" s="73">
        <f>C54*D47</f>
        <v>900999912</v>
      </c>
      <c r="E54" s="72"/>
    </row>
    <row r="55" spans="1:12" hidden="1" x14ac:dyDescent="0.25">
      <c r="A55" s="74"/>
      <c r="B55" s="65" t="s">
        <v>61</v>
      </c>
      <c r="C55" s="66">
        <f>C56+C57</f>
        <v>31671118</v>
      </c>
      <c r="D55" s="75">
        <f>C55*D47</f>
        <v>760106832</v>
      </c>
      <c r="E55" s="68"/>
    </row>
    <row r="56" spans="1:12" hidden="1" x14ac:dyDescent="0.25">
      <c r="A56" s="74"/>
      <c r="B56" s="69" t="s">
        <v>62</v>
      </c>
      <c r="C56" s="70">
        <v>15835559</v>
      </c>
      <c r="D56" s="73">
        <f>C56*D47</f>
        <v>380053416</v>
      </c>
      <c r="E56" s="72"/>
    </row>
    <row r="57" spans="1:12" hidden="1" x14ac:dyDescent="0.25">
      <c r="A57" s="74"/>
      <c r="B57" s="69" t="s">
        <v>63</v>
      </c>
      <c r="C57" s="70">
        <v>15835559</v>
      </c>
      <c r="D57" s="73">
        <f>C57*D47</f>
        <v>380053416</v>
      </c>
      <c r="E57" s="72"/>
    </row>
    <row r="58" spans="1:12" hidden="1" x14ac:dyDescent="0.25">
      <c r="A58" s="74"/>
      <c r="B58" s="76"/>
      <c r="C58" s="77"/>
      <c r="D58" s="78"/>
      <c r="E58" s="79"/>
    </row>
    <row r="59" spans="1:12" hidden="1" x14ac:dyDescent="0.25">
      <c r="A59" s="74"/>
      <c r="B59" s="29"/>
      <c r="C59" s="30"/>
      <c r="D59" s="80"/>
      <c r="E59" s="79"/>
    </row>
    <row r="60" spans="1:12" hidden="1" x14ac:dyDescent="0.25">
      <c r="A60" s="74"/>
      <c r="B60" s="29"/>
      <c r="C60" s="30"/>
      <c r="D60" s="80"/>
      <c r="E60" s="79"/>
    </row>
    <row r="61" spans="1:12" hidden="1" x14ac:dyDescent="0.25">
      <c r="A61" s="74"/>
      <c r="B61" s="43" t="s">
        <v>64</v>
      </c>
      <c r="C61" s="30"/>
      <c r="D61" s="80"/>
      <c r="E61" s="79"/>
    </row>
    <row r="62" spans="1:12" hidden="1" x14ac:dyDescent="0.25">
      <c r="A62" s="74"/>
      <c r="B62" s="29"/>
      <c r="C62" s="81"/>
      <c r="D62" s="82"/>
      <c r="E62" s="83"/>
    </row>
    <row r="63" spans="1:12" ht="15.75" hidden="1" x14ac:dyDescent="0.25">
      <c r="A63" s="74"/>
      <c r="B63" s="50"/>
      <c r="C63" s="84" t="s">
        <v>65</v>
      </c>
      <c r="D63" s="85" t="s">
        <v>66</v>
      </c>
      <c r="E63" s="86" t="s">
        <v>67</v>
      </c>
    </row>
    <row r="64" spans="1:12" ht="15.75" hidden="1" x14ac:dyDescent="0.25">
      <c r="A64" s="74"/>
      <c r="B64" s="61" t="s">
        <v>68</v>
      </c>
      <c r="C64" s="87" t="e">
        <f>C65+C69</f>
        <v>#REF!</v>
      </c>
      <c r="D64" s="88">
        <f>D50</f>
        <v>5406402864</v>
      </c>
      <c r="E64" s="89" t="e">
        <f>C64-D64</f>
        <v>#REF!</v>
      </c>
    </row>
    <row r="65" spans="1:5" hidden="1" x14ac:dyDescent="0.25">
      <c r="A65" s="74"/>
      <c r="B65" s="65" t="s">
        <v>69</v>
      </c>
      <c r="C65" s="90" t="e">
        <f>C66+C67+C68</f>
        <v>#REF!</v>
      </c>
      <c r="D65" s="88">
        <f>D51</f>
        <v>5026349472</v>
      </c>
      <c r="E65" s="89" t="e">
        <f>C65-D65</f>
        <v>#REF!</v>
      </c>
    </row>
    <row r="66" spans="1:5" hidden="1" x14ac:dyDescent="0.25">
      <c r="A66" s="74"/>
      <c r="B66" s="91" t="s">
        <v>70</v>
      </c>
      <c r="C66" s="92">
        <f>F19+F20+F21+F22+F23+F24+F25+F26+F27+F28+F29+F30+F31+F32</f>
        <v>4386654000</v>
      </c>
      <c r="D66" s="88"/>
      <c r="E66" s="85"/>
    </row>
    <row r="67" spans="1:5" hidden="1" x14ac:dyDescent="0.25">
      <c r="A67" s="74"/>
      <c r="B67" s="93" t="s">
        <v>71</v>
      </c>
      <c r="C67" s="92">
        <f>F33+F34+F35+F36+F37+F38+F39</f>
        <v>635000000</v>
      </c>
      <c r="D67" s="88"/>
      <c r="E67" s="85"/>
    </row>
    <row r="68" spans="1:5" hidden="1" x14ac:dyDescent="0.25">
      <c r="A68" s="74"/>
      <c r="B68" s="94" t="s">
        <v>72</v>
      </c>
      <c r="C68" s="92" t="e">
        <f>#REF!+#REF!+J40</f>
        <v>#REF!</v>
      </c>
      <c r="D68" s="85">
        <v>0</v>
      </c>
      <c r="E68" s="85"/>
    </row>
    <row r="69" spans="1:5" hidden="1" x14ac:dyDescent="0.25">
      <c r="A69" s="74"/>
      <c r="B69" s="95" t="s">
        <v>73</v>
      </c>
      <c r="C69" s="96">
        <f>J41+J42</f>
        <v>0</v>
      </c>
      <c r="D69" s="88">
        <f>D56</f>
        <v>380053416</v>
      </c>
      <c r="E69" s="88">
        <f>C69-D69</f>
        <v>-380053416</v>
      </c>
    </row>
    <row r="70" spans="1:5" hidden="1" x14ac:dyDescent="0.25">
      <c r="A70" s="74"/>
      <c r="B70" s="97"/>
      <c r="C70" s="98"/>
      <c r="D70" s="99"/>
      <c r="E70" s="100"/>
    </row>
    <row r="71" spans="1:5" hidden="1" x14ac:dyDescent="0.25">
      <c r="A71" s="74"/>
      <c r="B71" s="101"/>
      <c r="C71" s="98"/>
      <c r="D71" s="99"/>
      <c r="E71" s="100"/>
    </row>
    <row r="72" spans="1:5" x14ac:dyDescent="0.25">
      <c r="A72" s="74"/>
      <c r="B72" s="97"/>
      <c r="C72" s="98"/>
      <c r="D72" s="99"/>
      <c r="E72" s="100"/>
    </row>
    <row r="73" spans="1:5" ht="15.75" x14ac:dyDescent="0.25">
      <c r="A73" s="74"/>
      <c r="B73" s="97"/>
      <c r="C73" s="98"/>
      <c r="D73" s="102"/>
      <c r="E73" s="103"/>
    </row>
    <row r="74" spans="1:5" ht="15.75" x14ac:dyDescent="0.25">
      <c r="A74" s="74"/>
      <c r="B74" s="104"/>
      <c r="C74" s="105"/>
      <c r="D74" s="39"/>
      <c r="E74" s="106"/>
    </row>
    <row r="75" spans="1:5" x14ac:dyDescent="0.25">
      <c r="A75" s="74"/>
      <c r="B75" s="107"/>
      <c r="C75" s="108"/>
      <c r="D75" s="39"/>
      <c r="E75" s="106"/>
    </row>
    <row r="76" spans="1:5" x14ac:dyDescent="0.25">
      <c r="A76" s="74"/>
      <c r="B76" s="109"/>
      <c r="C76" s="110"/>
      <c r="D76" s="102"/>
      <c r="E76" s="102"/>
    </row>
    <row r="77" spans="1:5" x14ac:dyDescent="0.25">
      <c r="A77" s="74"/>
      <c r="B77" s="109"/>
      <c r="C77" s="110"/>
      <c r="D77" s="102"/>
      <c r="E77" s="102"/>
    </row>
    <row r="78" spans="1:5" x14ac:dyDescent="0.25">
      <c r="A78" s="74"/>
      <c r="B78" s="109"/>
      <c r="C78" s="110"/>
      <c r="D78" s="102"/>
      <c r="E78" s="102"/>
    </row>
    <row r="79" spans="1:5" x14ac:dyDescent="0.25">
      <c r="A79" s="74"/>
      <c r="B79" s="107"/>
      <c r="C79" s="111"/>
      <c r="D79" s="39"/>
      <c r="E79" s="39"/>
    </row>
  </sheetData>
  <conditionalFormatting sqref="J6:J14">
    <cfRule type="cellIs" dxfId="25" priority="1" operator="lessThan">
      <formula>0</formula>
    </cfRule>
    <cfRule type="cellIs" dxfId="24" priority="2" operator="greaterThan">
      <formula>-1</formula>
    </cfRule>
  </conditionalFormatting>
  <dataValidations count="2">
    <dataValidation type="list" allowBlank="1" showInputMessage="1" showErrorMessage="1" sqref="B34:B35" xr:uid="{00320048-00CA-48BA-A967-009B00460015}">
      <formula1>#NAME?</formula1>
    </dataValidation>
    <dataValidation type="list" allowBlank="1" showInputMessage="1" showErrorMessage="1" promptTitle="Vybrat zdrojový fond financování" sqref="C34:D35" xr:uid="{0035004A-00DC-465C-9FAB-00710058004E}">
      <formula1>#NAME?</formula1>
    </dataValidation>
  </dataValidations>
  <pageMargins left="0.7" right="0.7" top="0.78740157500000008" bottom="0.78740157500000008" header="0.3" footer="0.3"/>
  <pageSetup paperSize="8" scale="83" firstPageNumber="2147483648" orientation="landscape" horizontalDpi="4294967293" vertic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'C:\Users\user\Nextcloud\FST\94_Materiály pro SFŽP a O330\02_Finanční tabulky\[Výpočtová tabulka OPST_verze 7.xlsx]Cíle'!#REF!</xm:f>
          </x14:formula1>
          <xm:sqref>B19:B30</xm:sqref>
        </x14:dataValidation>
        <x14:dataValidation type="list" allowBlank="1" showInputMessage="1" showErrorMessage="1" promptTitle="Vybrat zdrojový fond financování" xr:uid="{00000000-0002-0000-0000-000001000000}">
          <x14:formula1>
            <xm:f>'C:\Users\user\Nextcloud\FST\94_Materiály pro SFŽP a O330\02_Finanční tabulky\[Výpočtová tabulka OPST_verze 7.xlsx]Cíle'!#REF!</xm:f>
          </x14:formula1>
          <xm:sqref>C19:D30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2"/>
  <sheetViews>
    <sheetView topLeftCell="C13" zoomScale="90" workbookViewId="0">
      <selection activeCell="K32" sqref="K32"/>
    </sheetView>
  </sheetViews>
  <sheetFormatPr defaultRowHeight="15" x14ac:dyDescent="0.25"/>
  <cols>
    <col min="1" max="1" width="15.7109375" customWidth="1"/>
    <col min="2" max="2" width="9.7109375" style="112" customWidth="1"/>
    <col min="3" max="3" width="18.5703125" customWidth="1"/>
    <col min="4" max="4" width="12.140625" style="60" customWidth="1"/>
    <col min="5" max="5" width="19.85546875" style="60" customWidth="1"/>
    <col min="6" max="6" width="53.140625" customWidth="1"/>
    <col min="7" max="7" width="39.5703125" customWidth="1"/>
    <col min="8" max="8" width="12.85546875" customWidth="1"/>
    <col min="9" max="9" width="13.42578125" customWidth="1"/>
    <col min="10" max="10" width="12.85546875" customWidth="1"/>
    <col min="11" max="11" width="22.85546875" style="113" customWidth="1"/>
    <col min="12" max="12" width="17.85546875" style="113" bestFit="1" customWidth="1"/>
    <col min="13" max="13" width="22" style="114" customWidth="1"/>
  </cols>
  <sheetData>
    <row r="1" spans="1:13" x14ac:dyDescent="0.25">
      <c r="A1" s="647" t="s">
        <v>74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9"/>
    </row>
    <row r="2" spans="1:13" x14ac:dyDescent="0.25">
      <c r="A2" s="650"/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2"/>
    </row>
    <row r="3" spans="1:13" ht="38.25" x14ac:dyDescent="0.25">
      <c r="A3" s="115" t="s">
        <v>1</v>
      </c>
      <c r="B3" s="116" t="s">
        <v>75</v>
      </c>
      <c r="C3" s="117" t="s">
        <v>76</v>
      </c>
      <c r="D3" s="117" t="s">
        <v>77</v>
      </c>
      <c r="E3" s="117" t="s">
        <v>78</v>
      </c>
      <c r="F3" s="117" t="s">
        <v>79</v>
      </c>
      <c r="G3" s="117" t="s">
        <v>80</v>
      </c>
      <c r="H3" s="117" t="s">
        <v>81</v>
      </c>
      <c r="I3" s="117" t="s">
        <v>82</v>
      </c>
      <c r="J3" s="117" t="s">
        <v>83</v>
      </c>
      <c r="K3" s="117" t="s">
        <v>84</v>
      </c>
      <c r="L3" s="118" t="s">
        <v>85</v>
      </c>
    </row>
    <row r="4" spans="1:13" ht="25.5" x14ac:dyDescent="0.25">
      <c r="A4" s="119" t="s">
        <v>14</v>
      </c>
      <c r="B4" s="120" t="s">
        <v>17</v>
      </c>
      <c r="C4" s="121" t="s">
        <v>14</v>
      </c>
      <c r="D4" s="122" t="s">
        <v>86</v>
      </c>
      <c r="E4" s="122" t="s">
        <v>87</v>
      </c>
      <c r="F4" s="123" t="s">
        <v>88</v>
      </c>
      <c r="G4" s="123" t="s">
        <v>89</v>
      </c>
      <c r="H4" s="124">
        <v>44879</v>
      </c>
      <c r="I4" s="124">
        <v>44895</v>
      </c>
      <c r="J4" s="124">
        <v>45291</v>
      </c>
      <c r="K4" s="125">
        <v>2900000000</v>
      </c>
      <c r="L4" s="126"/>
    </row>
    <row r="5" spans="1:13" ht="42" customHeight="1" x14ac:dyDescent="0.25">
      <c r="A5" s="119" t="s">
        <v>16</v>
      </c>
      <c r="B5" s="127" t="s">
        <v>17</v>
      </c>
      <c r="C5" s="121" t="s">
        <v>18</v>
      </c>
      <c r="D5" s="122" t="s">
        <v>86</v>
      </c>
      <c r="E5" s="122" t="s">
        <v>87</v>
      </c>
      <c r="F5" s="123" t="s">
        <v>90</v>
      </c>
      <c r="G5" s="123" t="s">
        <v>91</v>
      </c>
      <c r="H5" s="124">
        <v>44972</v>
      </c>
      <c r="I5" s="124"/>
      <c r="J5" s="124">
        <v>45291</v>
      </c>
      <c r="K5" s="128">
        <v>180000000</v>
      </c>
      <c r="L5" s="129">
        <v>150000000</v>
      </c>
      <c r="M5" s="130" t="s">
        <v>92</v>
      </c>
    </row>
    <row r="6" spans="1:13" ht="25.5" x14ac:dyDescent="0.25">
      <c r="A6" s="119" t="s">
        <v>20</v>
      </c>
      <c r="B6" s="127" t="s">
        <v>17</v>
      </c>
      <c r="C6" s="121" t="s">
        <v>21</v>
      </c>
      <c r="D6" s="122" t="s">
        <v>86</v>
      </c>
      <c r="E6" s="122" t="s">
        <v>87</v>
      </c>
      <c r="F6" s="123" t="s">
        <v>93</v>
      </c>
      <c r="G6" s="123" t="s">
        <v>94</v>
      </c>
      <c r="H6" s="124">
        <v>44972</v>
      </c>
      <c r="I6" s="124"/>
      <c r="J6" s="124">
        <v>45291</v>
      </c>
      <c r="K6" s="128">
        <v>180000000</v>
      </c>
      <c r="L6" s="129">
        <v>100000000</v>
      </c>
      <c r="M6" s="130" t="s">
        <v>92</v>
      </c>
    </row>
    <row r="7" spans="1:13" ht="38.25" x14ac:dyDescent="0.25">
      <c r="A7" s="119" t="s">
        <v>22</v>
      </c>
      <c r="B7" s="127" t="s">
        <v>17</v>
      </c>
      <c r="C7" s="121" t="s">
        <v>23</v>
      </c>
      <c r="D7" s="122" t="s">
        <v>86</v>
      </c>
      <c r="E7" s="122" t="s">
        <v>87</v>
      </c>
      <c r="F7" s="123" t="s">
        <v>95</v>
      </c>
      <c r="G7" s="123" t="s">
        <v>96</v>
      </c>
      <c r="H7" s="124">
        <v>44972</v>
      </c>
      <c r="I7" s="124"/>
      <c r="J7" s="124">
        <v>45138</v>
      </c>
      <c r="K7" s="128">
        <v>100000000</v>
      </c>
      <c r="L7" s="129"/>
    </row>
    <row r="8" spans="1:13" ht="45" x14ac:dyDescent="0.25">
      <c r="A8" s="119" t="s">
        <v>24</v>
      </c>
      <c r="B8" s="127" t="s">
        <v>25</v>
      </c>
      <c r="C8" s="121" t="s">
        <v>26</v>
      </c>
      <c r="D8" s="122" t="s">
        <v>86</v>
      </c>
      <c r="E8" s="122" t="s">
        <v>87</v>
      </c>
      <c r="F8" s="123" t="s">
        <v>97</v>
      </c>
      <c r="G8" s="123" t="s">
        <v>98</v>
      </c>
      <c r="H8" s="124">
        <v>45022</v>
      </c>
      <c r="I8" s="124"/>
      <c r="J8" s="124">
        <v>45205</v>
      </c>
      <c r="K8" s="128">
        <v>30000000</v>
      </c>
      <c r="L8" s="131">
        <v>90000000</v>
      </c>
      <c r="M8" s="132" t="s">
        <v>99</v>
      </c>
    </row>
    <row r="9" spans="1:13" ht="30" x14ac:dyDescent="0.25">
      <c r="A9" s="119" t="s">
        <v>24</v>
      </c>
      <c r="B9" s="127" t="s">
        <v>27</v>
      </c>
      <c r="C9" s="121" t="s">
        <v>28</v>
      </c>
      <c r="D9" s="122" t="s">
        <v>86</v>
      </c>
      <c r="E9" s="122" t="s">
        <v>87</v>
      </c>
      <c r="F9" s="123" t="s">
        <v>100</v>
      </c>
      <c r="G9" s="123" t="s">
        <v>101</v>
      </c>
      <c r="H9" s="124">
        <v>45028</v>
      </c>
      <c r="I9" s="124">
        <v>45033</v>
      </c>
      <c r="J9" s="124">
        <v>46387</v>
      </c>
      <c r="K9" s="128">
        <v>200000000</v>
      </c>
      <c r="L9" s="131">
        <v>200000000</v>
      </c>
      <c r="M9" s="132" t="s">
        <v>102</v>
      </c>
    </row>
    <row r="10" spans="1:13" ht="51" x14ac:dyDescent="0.25">
      <c r="A10" s="119" t="s">
        <v>32</v>
      </c>
      <c r="B10" s="127" t="s">
        <v>17</v>
      </c>
      <c r="C10" s="121" t="s">
        <v>33</v>
      </c>
      <c r="D10" s="122" t="s">
        <v>86</v>
      </c>
      <c r="E10" s="122" t="s">
        <v>87</v>
      </c>
      <c r="F10" s="123" t="s">
        <v>103</v>
      </c>
      <c r="G10" s="123" t="s">
        <v>104</v>
      </c>
      <c r="H10" s="124">
        <v>45077</v>
      </c>
      <c r="I10" s="133"/>
      <c r="J10" s="124">
        <v>45473</v>
      </c>
      <c r="K10" s="128">
        <v>40000000</v>
      </c>
      <c r="L10" s="129"/>
    </row>
    <row r="11" spans="1:13" ht="37.5" customHeight="1" x14ac:dyDescent="0.25">
      <c r="A11" s="119" t="s">
        <v>32</v>
      </c>
      <c r="B11" s="127" t="s">
        <v>17</v>
      </c>
      <c r="C11" s="121" t="s">
        <v>35</v>
      </c>
      <c r="D11" s="122" t="s">
        <v>86</v>
      </c>
      <c r="E11" s="122" t="s">
        <v>87</v>
      </c>
      <c r="F11" s="123" t="s">
        <v>105</v>
      </c>
      <c r="G11" s="123" t="s">
        <v>106</v>
      </c>
      <c r="H11" s="124">
        <v>45079</v>
      </c>
      <c r="I11" s="124">
        <v>45093</v>
      </c>
      <c r="J11" s="124">
        <v>45473</v>
      </c>
      <c r="K11" s="128">
        <v>60000000</v>
      </c>
      <c r="L11" s="129"/>
    </row>
    <row r="12" spans="1:13" ht="38.25" x14ac:dyDescent="0.25">
      <c r="A12" s="119" t="s">
        <v>32</v>
      </c>
      <c r="B12" s="127" t="s">
        <v>17</v>
      </c>
      <c r="C12" s="134" t="s">
        <v>34</v>
      </c>
      <c r="D12" s="122" t="s">
        <v>86</v>
      </c>
      <c r="E12" s="122" t="s">
        <v>87</v>
      </c>
      <c r="F12" s="123" t="s">
        <v>107</v>
      </c>
      <c r="G12" s="123" t="s">
        <v>106</v>
      </c>
      <c r="H12" s="135">
        <v>45090</v>
      </c>
      <c r="I12" s="136"/>
      <c r="J12" s="135">
        <v>45838</v>
      </c>
      <c r="K12" s="128">
        <v>60000000</v>
      </c>
      <c r="L12" s="129"/>
      <c r="M12" s="137"/>
    </row>
    <row r="13" spans="1:13" ht="57" customHeight="1" x14ac:dyDescent="0.25">
      <c r="A13" s="119" t="s">
        <v>16</v>
      </c>
      <c r="B13" s="127" t="s">
        <v>17</v>
      </c>
      <c r="C13" s="121" t="s">
        <v>31</v>
      </c>
      <c r="D13" s="122" t="s">
        <v>86</v>
      </c>
      <c r="E13" s="122" t="s">
        <v>87</v>
      </c>
      <c r="F13" s="123" t="s">
        <v>108</v>
      </c>
      <c r="G13" s="123" t="s">
        <v>109</v>
      </c>
      <c r="H13" s="138">
        <v>45182</v>
      </c>
      <c r="I13" s="124"/>
      <c r="J13" s="138">
        <v>45657</v>
      </c>
      <c r="K13" s="128">
        <v>60000000</v>
      </c>
      <c r="L13" s="129"/>
    </row>
    <row r="14" spans="1:13" ht="43.5" customHeight="1" x14ac:dyDescent="0.25">
      <c r="A14" s="119" t="s">
        <v>16</v>
      </c>
      <c r="B14" s="127" t="s">
        <v>25</v>
      </c>
      <c r="C14" s="121" t="s">
        <v>29</v>
      </c>
      <c r="D14" s="122" t="s">
        <v>86</v>
      </c>
      <c r="E14" s="122" t="s">
        <v>87</v>
      </c>
      <c r="F14" s="123" t="s">
        <v>110</v>
      </c>
      <c r="G14" s="123" t="s">
        <v>98</v>
      </c>
      <c r="H14" s="138">
        <v>45198</v>
      </c>
      <c r="I14" s="124"/>
      <c r="J14" s="124">
        <v>45382</v>
      </c>
      <c r="K14" s="128">
        <v>22500000</v>
      </c>
      <c r="L14" s="131">
        <v>22500000</v>
      </c>
      <c r="M14" s="139" t="s">
        <v>111</v>
      </c>
    </row>
    <row r="15" spans="1:13" ht="43.5" customHeight="1" x14ac:dyDescent="0.25">
      <c r="A15" s="119" t="s">
        <v>16</v>
      </c>
      <c r="B15" s="127" t="s">
        <v>25</v>
      </c>
      <c r="C15" s="121" t="s">
        <v>29</v>
      </c>
      <c r="D15" s="122" t="s">
        <v>86</v>
      </c>
      <c r="E15" s="122" t="s">
        <v>87</v>
      </c>
      <c r="F15" s="123" t="s">
        <v>112</v>
      </c>
      <c r="G15" s="123" t="s">
        <v>98</v>
      </c>
      <c r="H15" s="138">
        <v>45230</v>
      </c>
      <c r="I15" s="124"/>
      <c r="J15" s="124">
        <v>45412</v>
      </c>
      <c r="K15" s="140">
        <v>17500000</v>
      </c>
      <c r="L15" s="141">
        <v>17500000</v>
      </c>
      <c r="M15" s="139" t="s">
        <v>111</v>
      </c>
    </row>
    <row r="16" spans="1:13" ht="96.75" customHeight="1" x14ac:dyDescent="0.25">
      <c r="A16" s="119" t="s">
        <v>32</v>
      </c>
      <c r="B16" s="127" t="s">
        <v>17</v>
      </c>
      <c r="C16" s="121" t="s">
        <v>36</v>
      </c>
      <c r="D16" s="122" t="s">
        <v>86</v>
      </c>
      <c r="E16" s="122" t="s">
        <v>113</v>
      </c>
      <c r="F16" s="123" t="s">
        <v>114</v>
      </c>
      <c r="G16" s="142" t="s">
        <v>115</v>
      </c>
      <c r="H16" s="124">
        <v>45199</v>
      </c>
      <c r="I16" s="143"/>
      <c r="J16" s="143">
        <v>46387</v>
      </c>
      <c r="K16" s="140">
        <v>220000000</v>
      </c>
      <c r="L16" s="144"/>
    </row>
    <row r="17" spans="1:13" s="145" customFormat="1" ht="39" customHeight="1" x14ac:dyDescent="0.25">
      <c r="A17" s="146"/>
      <c r="B17" s="147" t="s">
        <v>17</v>
      </c>
      <c r="C17" s="148" t="s">
        <v>38</v>
      </c>
      <c r="D17" s="149" t="s">
        <v>86</v>
      </c>
      <c r="E17" s="149" t="s">
        <v>87</v>
      </c>
      <c r="F17" s="150" t="s">
        <v>116</v>
      </c>
      <c r="G17" s="151" t="s">
        <v>117</v>
      </c>
      <c r="H17" s="152">
        <v>45196</v>
      </c>
      <c r="I17" s="124"/>
      <c r="J17" s="124">
        <v>45657</v>
      </c>
      <c r="K17" s="153">
        <v>50000000</v>
      </c>
      <c r="L17" s="128"/>
      <c r="M17" s="154" t="s">
        <v>118</v>
      </c>
    </row>
    <row r="18" spans="1:13" s="145" customFormat="1" ht="48" customHeight="1" x14ac:dyDescent="0.25">
      <c r="A18" s="155"/>
      <c r="B18" s="156" t="s">
        <v>17</v>
      </c>
      <c r="C18" s="148" t="s">
        <v>119</v>
      </c>
      <c r="D18" s="149" t="s">
        <v>86</v>
      </c>
      <c r="E18" s="149" t="s">
        <v>87</v>
      </c>
      <c r="F18" s="157" t="s">
        <v>120</v>
      </c>
      <c r="G18" s="158" t="s">
        <v>121</v>
      </c>
      <c r="H18" s="152">
        <v>45170</v>
      </c>
      <c r="I18" s="152"/>
      <c r="J18" s="152">
        <v>45291</v>
      </c>
      <c r="K18" s="159">
        <v>16654000</v>
      </c>
      <c r="L18" s="160"/>
      <c r="M18" s="161"/>
    </row>
    <row r="19" spans="1:13" ht="63.75" x14ac:dyDescent="0.25">
      <c r="A19" s="162"/>
      <c r="B19" s="163" t="s">
        <v>17</v>
      </c>
      <c r="C19" s="164" t="s">
        <v>122</v>
      </c>
      <c r="D19" s="165"/>
      <c r="E19" s="165"/>
      <c r="F19" s="166"/>
      <c r="G19" s="166"/>
      <c r="H19" s="167"/>
      <c r="I19" s="167"/>
      <c r="J19" s="167"/>
      <c r="K19" s="168">
        <v>50000000</v>
      </c>
      <c r="L19" s="131"/>
      <c r="M19" s="161" t="s">
        <v>123</v>
      </c>
    </row>
    <row r="20" spans="1:13" s="145" customFormat="1" ht="30" x14ac:dyDescent="0.25">
      <c r="A20" s="162"/>
      <c r="B20" s="163" t="s">
        <v>17</v>
      </c>
      <c r="C20" s="164" t="s">
        <v>124</v>
      </c>
      <c r="D20" s="165"/>
      <c r="E20" s="165"/>
      <c r="F20" s="169" t="s">
        <v>125</v>
      </c>
      <c r="G20" s="166"/>
      <c r="H20" s="167"/>
      <c r="I20" s="167"/>
      <c r="J20" s="167"/>
      <c r="K20" s="168">
        <v>50000000</v>
      </c>
      <c r="L20" s="131"/>
      <c r="M20" s="161"/>
    </row>
    <row r="21" spans="1:13" ht="38.25" x14ac:dyDescent="0.25">
      <c r="A21" s="162"/>
      <c r="B21" s="163"/>
      <c r="C21" s="164" t="s">
        <v>50</v>
      </c>
      <c r="D21" s="165"/>
      <c r="E21" s="165"/>
      <c r="F21" s="166"/>
      <c r="G21" s="166"/>
      <c r="H21" s="167"/>
      <c r="I21" s="167"/>
      <c r="J21" s="167"/>
      <c r="K21" s="168">
        <v>100000000</v>
      </c>
      <c r="L21" s="131"/>
      <c r="M21" s="161" t="s">
        <v>126</v>
      </c>
    </row>
    <row r="22" spans="1:13" s="145" customFormat="1" ht="51" customHeight="1" x14ac:dyDescent="0.25">
      <c r="A22" s="162" t="s">
        <v>16</v>
      </c>
      <c r="B22" s="163" t="s">
        <v>17</v>
      </c>
      <c r="C22" s="164" t="s">
        <v>18</v>
      </c>
      <c r="D22" s="165" t="s">
        <v>86</v>
      </c>
      <c r="E22" s="165" t="s">
        <v>87</v>
      </c>
      <c r="F22" s="166" t="s">
        <v>127</v>
      </c>
      <c r="G22" s="166" t="s">
        <v>128</v>
      </c>
      <c r="H22" s="170"/>
      <c r="I22" s="170"/>
      <c r="J22" s="170"/>
      <c r="K22" s="171">
        <v>100000000</v>
      </c>
      <c r="L22" s="172"/>
      <c r="M22" s="161"/>
    </row>
    <row r="23" spans="1:13" s="145" customFormat="1" x14ac:dyDescent="0.25">
      <c r="A23" s="653" t="s">
        <v>129</v>
      </c>
      <c r="B23" s="653"/>
      <c r="C23" s="653"/>
      <c r="D23" s="653"/>
      <c r="E23" s="653"/>
      <c r="F23" s="653"/>
      <c r="G23" s="653"/>
      <c r="H23" s="653"/>
      <c r="I23" s="653"/>
      <c r="J23" s="653"/>
      <c r="K23" s="173">
        <f>SUM(K5:K22)</f>
        <v>1536654000</v>
      </c>
      <c r="L23" s="174">
        <f>SUM(L4:L16)</f>
        <v>580000000</v>
      </c>
      <c r="M23" s="175"/>
    </row>
    <row r="24" spans="1:13" ht="18.75" x14ac:dyDescent="0.3">
      <c r="A24" s="654" t="s">
        <v>130</v>
      </c>
      <c r="B24" s="655"/>
      <c r="C24" s="655"/>
      <c r="D24" s="655"/>
      <c r="E24" s="655"/>
      <c r="F24" s="655"/>
      <c r="G24" s="655"/>
      <c r="H24" s="655"/>
      <c r="I24" s="655"/>
      <c r="J24" s="656"/>
      <c r="K24" s="657">
        <f>K23+L23</f>
        <v>2116654000</v>
      </c>
      <c r="L24" s="658"/>
    </row>
    <row r="25" spans="1:13" x14ac:dyDescent="0.25">
      <c r="A25" s="654" t="s">
        <v>131</v>
      </c>
      <c r="B25" s="655"/>
      <c r="C25" s="655"/>
      <c r="D25" s="655"/>
      <c r="E25" s="655"/>
      <c r="F25" s="655"/>
      <c r="G25" s="655"/>
      <c r="H25" s="655"/>
      <c r="I25" s="655"/>
      <c r="J25" s="656"/>
      <c r="K25" s="659">
        <f>F28-K24-K4-F30-F31</f>
        <v>9695448</v>
      </c>
      <c r="L25" s="660"/>
    </row>
    <row r="26" spans="1:13" x14ac:dyDescent="0.25">
      <c r="A26" s="646"/>
      <c r="B26" s="646"/>
      <c r="C26" s="646"/>
      <c r="D26" s="646"/>
      <c r="E26" s="646"/>
      <c r="F26" s="646"/>
      <c r="G26" s="646"/>
      <c r="H26" s="646"/>
      <c r="I26" s="646"/>
      <c r="J26" s="646"/>
      <c r="K26" s="646"/>
      <c r="L26" s="646"/>
    </row>
    <row r="27" spans="1:13" x14ac:dyDescent="0.25">
      <c r="A27" t="s">
        <v>132</v>
      </c>
      <c r="K27" s="176"/>
    </row>
    <row r="28" spans="1:13" x14ac:dyDescent="0.25">
      <c r="A28" t="s">
        <v>133</v>
      </c>
      <c r="E28" s="60" t="s">
        <v>134</v>
      </c>
      <c r="F28" s="177">
        <f>241102345*24</f>
        <v>5786456280</v>
      </c>
      <c r="G28" s="178">
        <f>F28/2</f>
        <v>2893228140</v>
      </c>
    </row>
    <row r="29" spans="1:13" x14ac:dyDescent="0.25">
      <c r="A29" t="s">
        <v>135</v>
      </c>
      <c r="E29" s="60" t="s">
        <v>136</v>
      </c>
      <c r="F29" s="179">
        <f>F28-K4</f>
        <v>2886456280</v>
      </c>
    </row>
    <row r="30" spans="1:13" x14ac:dyDescent="0.25">
      <c r="A30" t="s">
        <v>137</v>
      </c>
      <c r="E30" s="60" t="s">
        <v>138</v>
      </c>
      <c r="F30" s="180">
        <v>380053416</v>
      </c>
    </row>
    <row r="31" spans="1:13" ht="30" customHeight="1" x14ac:dyDescent="0.25">
      <c r="E31" s="181" t="s">
        <v>139</v>
      </c>
      <c r="F31" s="180">
        <v>380053416</v>
      </c>
    </row>
    <row r="32" spans="1:13" ht="48" customHeight="1" x14ac:dyDescent="0.25">
      <c r="E32" s="182" t="s">
        <v>140</v>
      </c>
      <c r="F32" s="183">
        <f>F29-F30-K23-L23-F31</f>
        <v>9695448</v>
      </c>
    </row>
  </sheetData>
  <mergeCells count="8">
    <mergeCell ref="A26:J26"/>
    <mergeCell ref="K26:L26"/>
    <mergeCell ref="A1:L2"/>
    <mergeCell ref="A23:J23"/>
    <mergeCell ref="A24:J24"/>
    <mergeCell ref="K24:L24"/>
    <mergeCell ref="A25:J25"/>
    <mergeCell ref="K25:L25"/>
  </mergeCells>
  <pageMargins left="0.25" right="0.25" top="0.75" bottom="0.75" header="0.3" footer="0.3"/>
  <pageSetup paperSize="8" scale="68" firstPageNumber="2147483648" orientation="landscape" horizontalDpi="2147483648" verticalDpi="214748364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24B2A3"/>
  </sheetPr>
  <dimension ref="A1:N57"/>
  <sheetViews>
    <sheetView topLeftCell="B1" zoomScale="70" workbookViewId="0">
      <selection activeCell="B1" sqref="B1"/>
    </sheetView>
  </sheetViews>
  <sheetFormatPr defaultRowHeight="15" outlineLevelCol="1" x14ac:dyDescent="0.25"/>
  <cols>
    <col min="1" max="1" width="19" hidden="1" customWidth="1"/>
    <col min="2" max="2" width="39.42578125" customWidth="1"/>
    <col min="3" max="3" width="18" customWidth="1"/>
    <col min="4" max="4" width="38" bestFit="1" customWidth="1"/>
    <col min="5" max="5" width="46.7109375" customWidth="1"/>
    <col min="6" max="6" width="20.5703125" hidden="1" customWidth="1" outlineLevel="1"/>
    <col min="7" max="7" width="21.5703125" hidden="1" customWidth="1" outlineLevel="1"/>
    <col min="8" max="8" width="17.85546875" hidden="1" customWidth="1" outlineLevel="1"/>
    <col min="9" max="9" width="25" hidden="1" customWidth="1" outlineLevel="1"/>
    <col min="10" max="10" width="24.28515625" customWidth="1" collapsed="1"/>
    <col min="11" max="11" width="24.28515625" customWidth="1"/>
    <col min="12" max="13" width="24" customWidth="1"/>
    <col min="14" max="14" width="28.7109375" bestFit="1" customWidth="1"/>
  </cols>
  <sheetData>
    <row r="1" spans="1:14" x14ac:dyDescent="0.25">
      <c r="A1" s="29"/>
      <c r="B1" s="462"/>
      <c r="C1" s="463"/>
      <c r="D1" s="464"/>
      <c r="E1" s="465"/>
      <c r="F1" s="466"/>
      <c r="G1" s="466"/>
      <c r="H1" s="466"/>
      <c r="I1" s="466"/>
      <c r="J1" s="465"/>
      <c r="K1" s="465"/>
      <c r="L1" s="465"/>
      <c r="M1" s="467"/>
      <c r="N1" s="468"/>
    </row>
    <row r="2" spans="1:14" ht="36" x14ac:dyDescent="0.25">
      <c r="A2" s="29"/>
      <c r="B2" s="633" t="s">
        <v>309</v>
      </c>
      <c r="C2" s="463"/>
      <c r="D2" s="464"/>
      <c r="E2" s="465"/>
      <c r="F2" s="466"/>
      <c r="G2" s="466"/>
      <c r="H2" s="466"/>
      <c r="I2" s="466"/>
      <c r="J2" s="465"/>
      <c r="K2" s="465"/>
      <c r="L2" s="465"/>
      <c r="M2" s="467"/>
      <c r="N2" s="468"/>
    </row>
    <row r="3" spans="1:14" x14ac:dyDescent="0.25">
      <c r="A3" s="29"/>
      <c r="B3" s="43"/>
      <c r="C3" s="35"/>
      <c r="D3" s="31"/>
      <c r="E3" s="45"/>
      <c r="F3" s="31"/>
      <c r="G3" s="32"/>
      <c r="H3" s="32"/>
      <c r="I3" s="32"/>
    </row>
    <row r="4" spans="1:14" x14ac:dyDescent="0.25">
      <c r="A4" s="29"/>
      <c r="B4" s="29"/>
      <c r="C4" s="469" t="s">
        <v>239</v>
      </c>
      <c r="D4" s="470">
        <v>24</v>
      </c>
      <c r="E4" s="661"/>
      <c r="F4" s="661"/>
      <c r="G4" s="661"/>
      <c r="H4" s="661"/>
      <c r="I4" s="661"/>
      <c r="J4" s="661"/>
      <c r="K4" s="661"/>
      <c r="L4" s="661"/>
      <c r="M4" s="661"/>
    </row>
    <row r="5" spans="1:14" x14ac:dyDescent="0.25">
      <c r="A5" s="29"/>
      <c r="B5" s="29"/>
      <c r="C5" s="444" t="s">
        <v>235</v>
      </c>
      <c r="D5" s="443" t="s">
        <v>234</v>
      </c>
      <c r="E5" s="451" t="s">
        <v>247</v>
      </c>
      <c r="F5" s="220"/>
      <c r="G5" s="220"/>
      <c r="H5" s="220"/>
      <c r="I5" s="220"/>
      <c r="J5" s="471" t="s">
        <v>240</v>
      </c>
      <c r="K5" s="472" t="s">
        <v>241</v>
      </c>
      <c r="L5" s="473" t="s">
        <v>242</v>
      </c>
      <c r="M5" s="474" t="s">
        <v>243</v>
      </c>
      <c r="N5" s="459" t="s">
        <v>248</v>
      </c>
    </row>
    <row r="6" spans="1:14" ht="21" x14ac:dyDescent="0.35">
      <c r="A6" s="29"/>
      <c r="B6" s="55" t="s">
        <v>55</v>
      </c>
      <c r="C6" s="221">
        <f>C8+C13+C14</f>
        <v>608271279</v>
      </c>
      <c r="D6" s="445">
        <f>C6*D4</f>
        <v>14598510696</v>
      </c>
      <c r="E6" s="445">
        <f>SUM(J6:M6)</f>
        <v>13939430000</v>
      </c>
      <c r="F6" s="445"/>
      <c r="G6" s="445"/>
      <c r="H6" s="445"/>
      <c r="I6" s="445"/>
      <c r="J6" s="445">
        <f>SUMIF($K$19:$K$44,"Vyhlášeno",$J$19:$J$44)+SUMIF($K$19:$K$44,"V plánu",$J$19:$J$44)</f>
        <v>12069430000</v>
      </c>
      <c r="K6" s="445">
        <f>SUMIF($K$18:$K$44,K5,$J$18:$J$44)</f>
        <v>720000000</v>
      </c>
      <c r="L6" s="445">
        <f>SUMIF($K$18:$K$44,L5,$J$18:$J$44)</f>
        <v>800000000</v>
      </c>
      <c r="M6" s="445">
        <f>SUMIF($K$18:$K$44,M5,$J$18:$J$44)</f>
        <v>350000000</v>
      </c>
      <c r="N6" s="460">
        <f>E6-D6</f>
        <v>-659080696</v>
      </c>
    </row>
    <row r="7" spans="1:14" ht="15.75" x14ac:dyDescent="0.25">
      <c r="A7" s="29"/>
      <c r="B7" s="61" t="s">
        <v>56</v>
      </c>
      <c r="C7" s="222">
        <f>C6-C14</f>
        <v>568320129</v>
      </c>
      <c r="D7" s="446">
        <f>C7*D4</f>
        <v>13639683096</v>
      </c>
      <c r="E7" s="452">
        <f>SUM(J7:M7)</f>
        <v>13939430000</v>
      </c>
      <c r="F7" s="453"/>
      <c r="G7" s="453"/>
      <c r="H7" s="453"/>
      <c r="I7" s="453"/>
      <c r="J7" s="452">
        <f>SUMIF($K$19:$K$44,"Vyhlášeno",$J$19:$J$44)+SUMIF($K$19:$K$44,"V plánu",$J$19:$J$44)</f>
        <v>12069430000</v>
      </c>
      <c r="K7" s="461">
        <f>SUMIF($K$18:$K$44,K$5,$J$18:$J$44)</f>
        <v>720000000</v>
      </c>
      <c r="L7" s="461">
        <f>SUMIF($K$18:$K$44,L$5,$J$18:$J$44)</f>
        <v>800000000</v>
      </c>
      <c r="M7" s="461">
        <f>SUMIF($K$18:$K$44,M$5,$J$18:$J$44)</f>
        <v>350000000</v>
      </c>
      <c r="N7" s="452">
        <f t="shared" ref="N7:N13" si="0">E7-D7</f>
        <v>299746904</v>
      </c>
    </row>
    <row r="8" spans="1:14" ht="15.75" x14ac:dyDescent="0.25">
      <c r="A8" s="29"/>
      <c r="B8" s="65" t="s">
        <v>57</v>
      </c>
      <c r="C8" s="223">
        <f>C9+C10+C11</f>
        <v>528368979</v>
      </c>
      <c r="D8" s="447">
        <f>C8*D4</f>
        <v>12680855496</v>
      </c>
      <c r="E8" s="447">
        <f>SUM(J8:M8)</f>
        <v>13589430000</v>
      </c>
      <c r="F8" s="447"/>
      <c r="G8" s="447"/>
      <c r="H8" s="447"/>
      <c r="I8" s="447"/>
      <c r="J8" s="447">
        <f>SUMIF($K$19:$K$44,"Vyhlášeno",$J$19:$J$44)+SUMIF($K$19:$K$44,"V plánu",$J$19:$J$44)</f>
        <v>12069430000</v>
      </c>
      <c r="K8" s="461">
        <f>SUMIF($K$18:$K$44,K$5,$J$18:$J$44)</f>
        <v>720000000</v>
      </c>
      <c r="L8" s="461">
        <f>SUMIF($K$18:$K$44,L$5,$J$18:$J$44)</f>
        <v>800000000</v>
      </c>
      <c r="M8" s="447" t="s">
        <v>236</v>
      </c>
      <c r="N8" s="454">
        <f t="shared" si="0"/>
        <v>908574504</v>
      </c>
    </row>
    <row r="9" spans="1:14" x14ac:dyDescent="0.25">
      <c r="A9" s="29"/>
      <c r="B9" s="69" t="s">
        <v>58</v>
      </c>
      <c r="C9" s="224">
        <v>215100434</v>
      </c>
      <c r="D9" s="448">
        <f>C9*D4</f>
        <v>5162410416</v>
      </c>
      <c r="E9" s="447" t="s">
        <v>236</v>
      </c>
      <c r="F9" s="447" t="s">
        <v>236</v>
      </c>
      <c r="G9" s="447" t="s">
        <v>236</v>
      </c>
      <c r="H9" s="447" t="s">
        <v>236</v>
      </c>
      <c r="I9" s="447" t="s">
        <v>236</v>
      </c>
      <c r="J9" s="447" t="s">
        <v>236</v>
      </c>
      <c r="K9" s="447" t="s">
        <v>236</v>
      </c>
      <c r="L9" s="447" t="s">
        <v>236</v>
      </c>
      <c r="M9" s="447" t="s">
        <v>236</v>
      </c>
      <c r="N9" s="454" t="s">
        <v>236</v>
      </c>
    </row>
    <row r="10" spans="1:14" x14ac:dyDescent="0.25">
      <c r="A10" s="29"/>
      <c r="B10" s="69" t="s">
        <v>59</v>
      </c>
      <c r="C10" s="224">
        <v>218555590</v>
      </c>
      <c r="D10" s="448">
        <f>C10*D4</f>
        <v>5245334160</v>
      </c>
      <c r="E10" s="447" t="s">
        <v>236</v>
      </c>
      <c r="F10" s="447" t="s">
        <v>236</v>
      </c>
      <c r="G10" s="447" t="s">
        <v>236</v>
      </c>
      <c r="H10" s="447" t="s">
        <v>236</v>
      </c>
      <c r="I10" s="447" t="s">
        <v>236</v>
      </c>
      <c r="J10" s="447" t="s">
        <v>236</v>
      </c>
      <c r="K10" s="447" t="s">
        <v>236</v>
      </c>
      <c r="L10" s="447" t="s">
        <v>236</v>
      </c>
      <c r="M10" s="447" t="s">
        <v>236</v>
      </c>
      <c r="N10" s="454" t="s">
        <v>236</v>
      </c>
    </row>
    <row r="11" spans="1:14" x14ac:dyDescent="0.25">
      <c r="A11" s="29"/>
      <c r="B11" s="69" t="s">
        <v>60</v>
      </c>
      <c r="C11" s="224">
        <v>94712955</v>
      </c>
      <c r="D11" s="449">
        <f>C11*D4</f>
        <v>2273110920</v>
      </c>
      <c r="E11" s="447" t="s">
        <v>236</v>
      </c>
      <c r="F11" s="447" t="s">
        <v>236</v>
      </c>
      <c r="G11" s="447" t="s">
        <v>236</v>
      </c>
      <c r="H11" s="447" t="s">
        <v>236</v>
      </c>
      <c r="I11" s="447" t="s">
        <v>236</v>
      </c>
      <c r="J11" s="447" t="s">
        <v>236</v>
      </c>
      <c r="K11" s="447" t="s">
        <v>236</v>
      </c>
      <c r="L11" s="447" t="s">
        <v>236</v>
      </c>
      <c r="M11" s="447" t="s">
        <v>236</v>
      </c>
      <c r="N11" s="454" t="s">
        <v>236</v>
      </c>
    </row>
    <row r="12" spans="1:14" ht="15.75" x14ac:dyDescent="0.25">
      <c r="A12" s="29"/>
      <c r="B12" s="65" t="s">
        <v>61</v>
      </c>
      <c r="C12" s="223">
        <f>C13+C14</f>
        <v>79902300</v>
      </c>
      <c r="D12" s="450">
        <f>C12*D4</f>
        <v>1917655200</v>
      </c>
      <c r="E12" s="452">
        <f>SUM(J12:M12)</f>
        <v>350000000</v>
      </c>
      <c r="F12" s="452"/>
      <c r="G12" s="452"/>
      <c r="H12" s="452"/>
      <c r="I12" s="452"/>
      <c r="J12" s="452" t="s">
        <v>236</v>
      </c>
      <c r="K12" s="452" t="s">
        <v>236</v>
      </c>
      <c r="L12" s="452" t="s">
        <v>236</v>
      </c>
      <c r="M12" s="461">
        <f>SUMIF($K$18:$K$44,M$5,$J$18:$J$44)</f>
        <v>350000000</v>
      </c>
      <c r="N12" s="452">
        <f t="shared" si="0"/>
        <v>-1567655200</v>
      </c>
    </row>
    <row r="13" spans="1:14" s="102" customFormat="1" x14ac:dyDescent="0.25">
      <c r="A13" s="97"/>
      <c r="B13" s="69" t="s">
        <v>62</v>
      </c>
      <c r="C13" s="224">
        <v>39951150</v>
      </c>
      <c r="D13" s="449">
        <f>C13*D4</f>
        <v>958827600</v>
      </c>
      <c r="E13" s="449">
        <f>SUM(J13:M13)</f>
        <v>350000000</v>
      </c>
      <c r="F13" s="449"/>
      <c r="G13" s="449"/>
      <c r="H13" s="449"/>
      <c r="I13" s="449"/>
      <c r="J13" s="449" t="s">
        <v>236</v>
      </c>
      <c r="K13" s="449" t="s">
        <v>236</v>
      </c>
      <c r="L13" s="449" t="s">
        <v>236</v>
      </c>
      <c r="M13" s="449">
        <f>SUMIF($K$18:$K$44,M$5,$J$18:$J$44)</f>
        <v>350000000</v>
      </c>
      <c r="N13" s="456">
        <f t="shared" si="0"/>
        <v>-608827600</v>
      </c>
    </row>
    <row r="14" spans="1:14" s="102" customFormat="1" x14ac:dyDescent="0.25">
      <c r="A14" s="97"/>
      <c r="B14" s="69" t="s">
        <v>63</v>
      </c>
      <c r="C14" s="224">
        <v>39951150</v>
      </c>
      <c r="D14" s="449">
        <f>C14*D4</f>
        <v>958827600</v>
      </c>
      <c r="E14" s="457" t="s">
        <v>236</v>
      </c>
      <c r="F14" s="455"/>
      <c r="G14" s="455"/>
      <c r="H14" s="455"/>
      <c r="I14" s="455"/>
      <c r="J14" s="457" t="s">
        <v>236</v>
      </c>
      <c r="K14" s="457" t="s">
        <v>236</v>
      </c>
      <c r="L14" s="457" t="s">
        <v>236</v>
      </c>
      <c r="M14" s="458"/>
      <c r="N14" s="456"/>
    </row>
    <row r="15" spans="1:14" s="102" customFormat="1" x14ac:dyDescent="0.25">
      <c r="A15" s="97"/>
      <c r="B15" s="462"/>
      <c r="C15" s="463"/>
      <c r="D15" s="464"/>
      <c r="E15" s="465"/>
      <c r="F15" s="466"/>
      <c r="G15" s="466"/>
      <c r="H15" s="466"/>
      <c r="I15" s="466"/>
      <c r="J15" s="465"/>
      <c r="K15" s="465"/>
      <c r="L15" s="465"/>
      <c r="M15" s="467"/>
      <c r="N15" s="468"/>
    </row>
    <row r="16" spans="1:14" s="102" customFormat="1" x14ac:dyDescent="0.25">
      <c r="A16" s="97"/>
      <c r="B16" s="462"/>
      <c r="C16" s="463"/>
      <c r="D16" s="464"/>
      <c r="E16" s="465"/>
      <c r="F16" s="466"/>
      <c r="G16" s="466"/>
      <c r="H16" s="466"/>
      <c r="I16" s="466"/>
      <c r="J16" s="465"/>
      <c r="K16" s="465"/>
      <c r="L16" s="465"/>
      <c r="M16" s="467"/>
      <c r="N16" s="468"/>
    </row>
    <row r="17" spans="1:13" x14ac:dyDescent="0.25">
      <c r="A17" s="29"/>
      <c r="B17" s="29"/>
      <c r="C17" s="30"/>
      <c r="D17" s="99"/>
      <c r="E17" s="100"/>
      <c r="F17" s="225"/>
      <c r="G17" s="225"/>
      <c r="H17" s="225"/>
      <c r="I17" s="225"/>
      <c r="J17" s="99"/>
    </row>
    <row r="18" spans="1:13" ht="28.5" customHeight="1" x14ac:dyDescent="0.25">
      <c r="A18" s="184" t="s">
        <v>141</v>
      </c>
      <c r="B18" s="630" t="s">
        <v>1</v>
      </c>
      <c r="C18" s="630" t="s">
        <v>2</v>
      </c>
      <c r="D18" s="630" t="s">
        <v>3</v>
      </c>
      <c r="E18" s="630" t="s">
        <v>4</v>
      </c>
      <c r="F18" s="630" t="s">
        <v>142</v>
      </c>
      <c r="G18" s="630" t="s">
        <v>5</v>
      </c>
      <c r="H18" s="630" t="s">
        <v>6</v>
      </c>
      <c r="I18" s="630" t="s">
        <v>7</v>
      </c>
      <c r="J18" s="631" t="s">
        <v>8</v>
      </c>
      <c r="K18" s="632" t="s">
        <v>9</v>
      </c>
      <c r="L18" s="475" t="s">
        <v>237</v>
      </c>
      <c r="M18" s="475" t="s">
        <v>238</v>
      </c>
    </row>
    <row r="19" spans="1:13" x14ac:dyDescent="0.25">
      <c r="A19" s="2">
        <v>2022</v>
      </c>
      <c r="B19" s="3" t="s">
        <v>11</v>
      </c>
      <c r="C19" s="4" t="s">
        <v>12</v>
      </c>
      <c r="D19" s="4" t="s">
        <v>13</v>
      </c>
      <c r="E19" s="5" t="s">
        <v>14</v>
      </c>
      <c r="F19" s="185" t="s">
        <v>11</v>
      </c>
      <c r="G19" s="6" t="e">
        <f>#NAME?</f>
        <v>#NAME?</v>
      </c>
      <c r="H19" s="7" t="e">
        <f>ULK_AKT[[#This Row],[Příspěvek ke klimatu]]/#REF!</f>
        <v>#NAME?</v>
      </c>
      <c r="I19" s="8" t="e">
        <f>#NAME?</f>
        <v>#NAME?</v>
      </c>
      <c r="J19" s="186">
        <v>7300000000</v>
      </c>
      <c r="K19" s="10" t="s">
        <v>15</v>
      </c>
    </row>
    <row r="20" spans="1:13" x14ac:dyDescent="0.25">
      <c r="A20" s="2">
        <v>2023</v>
      </c>
      <c r="B20" s="3" t="s">
        <v>16</v>
      </c>
      <c r="C20" s="4" t="s">
        <v>12</v>
      </c>
      <c r="D20" s="4" t="s">
        <v>17</v>
      </c>
      <c r="E20" s="11" t="s">
        <v>18</v>
      </c>
      <c r="F20" s="185">
        <v>122</v>
      </c>
      <c r="G20" s="6" t="e">
        <f>#NAME?</f>
        <v>#NAME?</v>
      </c>
      <c r="H20" s="7" t="e">
        <f>ULK_AKT[[#This Row],[Příspěvek ke klimatu]]/#REF!</f>
        <v>#NAME?</v>
      </c>
      <c r="I20" s="8" t="e">
        <f>#NAME?</f>
        <v>#NAME?</v>
      </c>
      <c r="J20" s="186">
        <v>800000000</v>
      </c>
      <c r="K20" s="10" t="s">
        <v>15</v>
      </c>
    </row>
    <row r="21" spans="1:13" x14ac:dyDescent="0.25">
      <c r="A21" s="2">
        <v>2023</v>
      </c>
      <c r="B21" s="3" t="s">
        <v>20</v>
      </c>
      <c r="C21" s="4" t="s">
        <v>12</v>
      </c>
      <c r="D21" s="4" t="s">
        <v>17</v>
      </c>
      <c r="E21" s="11" t="s">
        <v>21</v>
      </c>
      <c r="F21" s="185">
        <v>122</v>
      </c>
      <c r="G21" s="6" t="e">
        <f>#NAME?</f>
        <v>#NAME?</v>
      </c>
      <c r="H21" s="7" t="e">
        <f>ULK_AKT[[#This Row],[Příspěvek ke klimatu]]/#REF!</f>
        <v>#NAME?</v>
      </c>
      <c r="I21" s="8" t="e">
        <f>#NAME?</f>
        <v>#NAME?</v>
      </c>
      <c r="J21" s="186">
        <v>300000000</v>
      </c>
      <c r="K21" s="10" t="s">
        <v>15</v>
      </c>
    </row>
    <row r="22" spans="1:13" x14ac:dyDescent="0.25">
      <c r="A22" s="2">
        <v>2023</v>
      </c>
      <c r="B22" s="3" t="s">
        <v>22</v>
      </c>
      <c r="C22" s="4" t="s">
        <v>12</v>
      </c>
      <c r="D22" s="4" t="s">
        <v>17</v>
      </c>
      <c r="E22" s="11" t="s">
        <v>23</v>
      </c>
      <c r="F22" s="185">
        <v>67</v>
      </c>
      <c r="G22" s="6" t="e">
        <f>#NAME?</f>
        <v>#NAME?</v>
      </c>
      <c r="H22" s="7" t="e">
        <f>ULK_AKT[[#This Row],[Příspěvek ke klimatu]]/#REF!</f>
        <v>#NAME?</v>
      </c>
      <c r="I22" s="8" t="e">
        <f>#NAME?</f>
        <v>#NAME?</v>
      </c>
      <c r="J22" s="186">
        <v>940000000</v>
      </c>
      <c r="K22" s="10" t="s">
        <v>15</v>
      </c>
    </row>
    <row r="23" spans="1:13" x14ac:dyDescent="0.25">
      <c r="A23" s="2">
        <v>2023</v>
      </c>
      <c r="B23" s="3" t="s">
        <v>24</v>
      </c>
      <c r="C23" s="4" t="s">
        <v>12</v>
      </c>
      <c r="D23" s="4" t="s">
        <v>25</v>
      </c>
      <c r="E23" s="11" t="s">
        <v>26</v>
      </c>
      <c r="F23" s="185">
        <v>21</v>
      </c>
      <c r="G23" s="6" t="e">
        <f>#NAME?</f>
        <v>#NAME?</v>
      </c>
      <c r="H23" s="7" t="e">
        <f>ULK_AKT[[#This Row],[Příspěvek ke klimatu]]/#REF!</f>
        <v>#NAME?</v>
      </c>
      <c r="I23" s="8" t="e">
        <f>#NAME?</f>
        <v>#NAME?</v>
      </c>
      <c r="J23" s="186">
        <v>150000000</v>
      </c>
      <c r="K23" s="10" t="s">
        <v>15</v>
      </c>
    </row>
    <row r="24" spans="1:13" x14ac:dyDescent="0.25">
      <c r="A24" s="2">
        <v>2023</v>
      </c>
      <c r="B24" s="3" t="s">
        <v>24</v>
      </c>
      <c r="C24" s="4" t="s">
        <v>12</v>
      </c>
      <c r="D24" s="4" t="s">
        <v>27</v>
      </c>
      <c r="E24" s="11" t="s">
        <v>28</v>
      </c>
      <c r="F24" s="185">
        <v>21</v>
      </c>
      <c r="G24" s="6" t="e">
        <f>#NAME?</f>
        <v>#NAME?</v>
      </c>
      <c r="H24" s="7" t="e">
        <f>ULK_AKT[[#This Row],[Příspěvek ke klimatu]]/#REF!</f>
        <v>#NAME?</v>
      </c>
      <c r="I24" s="8" t="e">
        <f>#NAME?</f>
        <v>#NAME?</v>
      </c>
      <c r="J24" s="186">
        <v>600000000</v>
      </c>
      <c r="K24" s="10" t="s">
        <v>15</v>
      </c>
    </row>
    <row r="25" spans="1:13" x14ac:dyDescent="0.25">
      <c r="A25" s="2">
        <v>2023</v>
      </c>
      <c r="B25" s="3" t="s">
        <v>11</v>
      </c>
      <c r="C25" s="4" t="s">
        <v>12</v>
      </c>
      <c r="D25" s="4" t="s">
        <v>25</v>
      </c>
      <c r="E25" s="11" t="s">
        <v>29</v>
      </c>
      <c r="F25" s="185" t="s">
        <v>11</v>
      </c>
      <c r="G25" s="6" t="e">
        <f>#NAME?</f>
        <v>#NAME?</v>
      </c>
      <c r="H25" s="7" t="e">
        <f>ULK_AKT[[#This Row],[Příspěvek ke klimatu]]/#REF!</f>
        <v>#NAME?</v>
      </c>
      <c r="I25" s="8" t="e">
        <f>#NAME?</f>
        <v>#NAME?</v>
      </c>
      <c r="J25" s="186">
        <v>230000000</v>
      </c>
      <c r="K25" s="10" t="s">
        <v>30</v>
      </c>
      <c r="L25" s="102" t="s">
        <v>306</v>
      </c>
      <c r="M25" s="620" t="s">
        <v>307</v>
      </c>
    </row>
    <row r="26" spans="1:13" x14ac:dyDescent="0.25">
      <c r="A26" s="2">
        <v>2023</v>
      </c>
      <c r="B26" s="3" t="s">
        <v>16</v>
      </c>
      <c r="C26" s="4" t="s">
        <v>12</v>
      </c>
      <c r="D26" s="4" t="s">
        <v>17</v>
      </c>
      <c r="E26" s="11" t="s">
        <v>31</v>
      </c>
      <c r="F26" s="185">
        <v>146</v>
      </c>
      <c r="G26" s="6" t="e">
        <f>#NAME?</f>
        <v>#NAME?</v>
      </c>
      <c r="H26" s="7" t="e">
        <f>ULK_AKT[[#This Row],[Příspěvek ke klimatu]]/#REF!</f>
        <v>#NAME?</v>
      </c>
      <c r="I26" s="8" t="e">
        <f>#NAME?</f>
        <v>#NAME?</v>
      </c>
      <c r="J26" s="186">
        <v>500000000</v>
      </c>
      <c r="K26" s="5" t="s">
        <v>15</v>
      </c>
    </row>
    <row r="27" spans="1:13" x14ac:dyDescent="0.25">
      <c r="A27" s="2">
        <v>2023</v>
      </c>
      <c r="B27" s="3" t="s">
        <v>32</v>
      </c>
      <c r="C27" s="4" t="s">
        <v>12</v>
      </c>
      <c r="D27" s="4" t="s">
        <v>17</v>
      </c>
      <c r="E27" s="11" t="s">
        <v>33</v>
      </c>
      <c r="F27" s="185" t="s">
        <v>11</v>
      </c>
      <c r="G27" s="6" t="e">
        <f>#NAME?</f>
        <v>#NAME?</v>
      </c>
      <c r="H27" s="7" t="e">
        <f>ULK_AKT[[#This Row],[Příspěvek ke klimatu]]/#REF!</f>
        <v>#NAME?</v>
      </c>
      <c r="I27" s="8" t="e">
        <f>#NAME?</f>
        <v>#NAME?</v>
      </c>
      <c r="J27" s="186">
        <v>60000000</v>
      </c>
      <c r="K27" s="10" t="s">
        <v>15</v>
      </c>
    </row>
    <row r="28" spans="1:13" x14ac:dyDescent="0.25">
      <c r="A28" s="2">
        <v>2023</v>
      </c>
      <c r="B28" s="3" t="s">
        <v>32</v>
      </c>
      <c r="C28" s="4" t="s">
        <v>12</v>
      </c>
      <c r="D28" s="4" t="s">
        <v>17</v>
      </c>
      <c r="E28" s="11" t="s">
        <v>34</v>
      </c>
      <c r="F28" s="185" t="s">
        <v>11</v>
      </c>
      <c r="G28" s="6" t="e">
        <f>#NAME?</f>
        <v>#NAME?</v>
      </c>
      <c r="H28" s="7" t="e">
        <f>ULK_AKT[[#This Row],[Příspěvek ke klimatu]]/#REF!</f>
        <v>#NAME?</v>
      </c>
      <c r="I28" s="8" t="e">
        <f>#NAME?</f>
        <v>#NAME?</v>
      </c>
      <c r="J28" s="186">
        <v>120000000</v>
      </c>
      <c r="K28" s="10" t="s">
        <v>15</v>
      </c>
    </row>
    <row r="29" spans="1:13" x14ac:dyDescent="0.25">
      <c r="A29" s="2">
        <v>2023</v>
      </c>
      <c r="B29" s="3" t="s">
        <v>32</v>
      </c>
      <c r="C29" s="4" t="s">
        <v>12</v>
      </c>
      <c r="D29" s="4" t="s">
        <v>17</v>
      </c>
      <c r="E29" s="11" t="s">
        <v>35</v>
      </c>
      <c r="F29" s="185">
        <v>79</v>
      </c>
      <c r="G29" s="6" t="e">
        <f>#NAME?</f>
        <v>#NAME?</v>
      </c>
      <c r="H29" s="7" t="e">
        <f>ULK_AKT[[#This Row],[Příspěvek ke klimatu]]/#REF!</f>
        <v>#NAME?</v>
      </c>
      <c r="I29" s="8" t="e">
        <f>#NAME?</f>
        <v>#NAME?</v>
      </c>
      <c r="J29" s="186">
        <v>90000000</v>
      </c>
      <c r="K29" s="10" t="s">
        <v>15</v>
      </c>
    </row>
    <row r="30" spans="1:13" x14ac:dyDescent="0.25">
      <c r="A30" s="2">
        <v>2023</v>
      </c>
      <c r="B30" s="3" t="s">
        <v>32</v>
      </c>
      <c r="C30" s="4" t="s">
        <v>12</v>
      </c>
      <c r="D30" s="4"/>
      <c r="E30" s="11" t="s">
        <v>36</v>
      </c>
      <c r="F30" s="185" t="s">
        <v>11</v>
      </c>
      <c r="G30" s="6" t="e">
        <f>#NAME?</f>
        <v>#NAME?</v>
      </c>
      <c r="H30" s="7" t="e">
        <f>ULK_AKT[[#This Row],[Příspěvek ke klimatu]]/#REF!</f>
        <v>#NAME?</v>
      </c>
      <c r="I30" s="8" t="e">
        <f>#NAME?</f>
        <v>#NAME?</v>
      </c>
      <c r="J30" s="186">
        <v>330000000</v>
      </c>
      <c r="K30" s="187" t="s">
        <v>15</v>
      </c>
    </row>
    <row r="31" spans="1:13" x14ac:dyDescent="0.25">
      <c r="A31" s="2">
        <v>2023</v>
      </c>
      <c r="B31" s="3" t="s">
        <v>24</v>
      </c>
      <c r="C31" s="4" t="s">
        <v>12</v>
      </c>
      <c r="D31" s="4" t="s">
        <v>25</v>
      </c>
      <c r="E31" s="11" t="s">
        <v>143</v>
      </c>
      <c r="F31" s="185">
        <v>21</v>
      </c>
      <c r="G31" s="6" t="e">
        <f>#NAME?</f>
        <v>#NAME?</v>
      </c>
      <c r="H31" s="7" t="e">
        <f>ULK_AKT[[#This Row],[Příspěvek ke klimatu]]/#REF!</f>
        <v>#NAME?</v>
      </c>
      <c r="I31" s="8" t="e">
        <f>#NAME?</f>
        <v>#NAME?</v>
      </c>
      <c r="J31" s="186">
        <v>50000000</v>
      </c>
      <c r="K31" s="187" t="s">
        <v>15</v>
      </c>
    </row>
    <row r="32" spans="1:13" x14ac:dyDescent="0.25">
      <c r="A32" s="2">
        <v>2023</v>
      </c>
      <c r="B32" s="3" t="s">
        <v>20</v>
      </c>
      <c r="C32" s="4" t="s">
        <v>12</v>
      </c>
      <c r="D32" s="4" t="s">
        <v>17</v>
      </c>
      <c r="E32" s="11" t="s">
        <v>144</v>
      </c>
      <c r="F32" s="185">
        <v>16</v>
      </c>
      <c r="G32" s="6" t="e">
        <f>#NAME?</f>
        <v>#NAME?</v>
      </c>
      <c r="H32" s="7" t="e">
        <f>ULK_AKT[[#This Row],[Příspěvek ke klimatu]]/#REF!</f>
        <v>#NAME?</v>
      </c>
      <c r="I32" s="8" t="e">
        <f>#NAME?</f>
        <v>#NAME?</v>
      </c>
      <c r="J32" s="186">
        <v>230000000</v>
      </c>
      <c r="K32" s="10" t="s">
        <v>15</v>
      </c>
    </row>
    <row r="33" spans="1:13" x14ac:dyDescent="0.25">
      <c r="A33" s="2">
        <v>2023</v>
      </c>
      <c r="B33" s="12" t="s">
        <v>11</v>
      </c>
      <c r="C33" s="12" t="s">
        <v>12</v>
      </c>
      <c r="D33" s="16" t="s">
        <v>17</v>
      </c>
      <c r="E33" s="188" t="s">
        <v>37</v>
      </c>
      <c r="F33" s="6" t="s">
        <v>11</v>
      </c>
      <c r="G33" s="6"/>
      <c r="H33" s="7"/>
      <c r="I33" s="8"/>
      <c r="J33" s="186">
        <v>19430000</v>
      </c>
      <c r="K33" s="15" t="s">
        <v>15</v>
      </c>
    </row>
    <row r="34" spans="1:13" x14ac:dyDescent="0.25">
      <c r="A34" s="2">
        <v>2023</v>
      </c>
      <c r="B34" s="12" t="s">
        <v>24</v>
      </c>
      <c r="C34" s="12" t="s">
        <v>12</v>
      </c>
      <c r="D34" s="16" t="s">
        <v>17</v>
      </c>
      <c r="E34" s="188" t="s">
        <v>38</v>
      </c>
      <c r="F34" s="6"/>
      <c r="G34" s="6"/>
      <c r="H34" s="7"/>
      <c r="I34" s="8"/>
      <c r="J34" s="186">
        <v>200000000</v>
      </c>
      <c r="K34" s="15" t="s">
        <v>30</v>
      </c>
    </row>
    <row r="35" spans="1:13" x14ac:dyDescent="0.25">
      <c r="A35" s="189" t="s">
        <v>145</v>
      </c>
      <c r="B35" s="17" t="s">
        <v>24</v>
      </c>
      <c r="C35" s="17" t="s">
        <v>12</v>
      </c>
      <c r="D35" s="17" t="s">
        <v>25</v>
      </c>
      <c r="E35" s="17" t="s">
        <v>39</v>
      </c>
      <c r="F35" s="17"/>
      <c r="G35" s="17"/>
      <c r="H35" s="17"/>
      <c r="I35" s="17"/>
      <c r="J35" s="186">
        <v>150000000</v>
      </c>
      <c r="K35" s="17" t="s">
        <v>30</v>
      </c>
      <c r="L35" t="s">
        <v>146</v>
      </c>
      <c r="M35" s="190" t="s">
        <v>147</v>
      </c>
    </row>
    <row r="36" spans="1:13" x14ac:dyDescent="0.25">
      <c r="A36" s="189" t="s">
        <v>145</v>
      </c>
      <c r="B36" s="19" t="s">
        <v>16</v>
      </c>
      <c r="C36" s="27" t="s">
        <v>12</v>
      </c>
      <c r="D36" s="28" t="s">
        <v>17</v>
      </c>
      <c r="E36" s="191" t="s">
        <v>148</v>
      </c>
      <c r="F36" s="21"/>
      <c r="G36" s="22"/>
      <c r="H36" s="22"/>
      <c r="I36" s="22"/>
      <c r="J36" s="192">
        <v>400000000</v>
      </c>
      <c r="K36" s="617" t="s">
        <v>241</v>
      </c>
      <c r="L36" t="s">
        <v>149</v>
      </c>
    </row>
    <row r="37" spans="1:13" x14ac:dyDescent="0.25">
      <c r="A37" s="189" t="s">
        <v>145</v>
      </c>
      <c r="B37" s="193" t="s">
        <v>150</v>
      </c>
      <c r="C37" s="194" t="s">
        <v>12</v>
      </c>
      <c r="D37" s="195" t="s">
        <v>17</v>
      </c>
      <c r="E37" s="196" t="s">
        <v>151</v>
      </c>
      <c r="F37" s="197"/>
      <c r="G37" s="198"/>
      <c r="H37" s="198"/>
      <c r="I37" s="198"/>
      <c r="J37" s="199">
        <v>500000000</v>
      </c>
      <c r="K37" s="618" t="s">
        <v>242</v>
      </c>
      <c r="L37" t="s">
        <v>152</v>
      </c>
      <c r="M37" s="200" t="s">
        <v>153</v>
      </c>
    </row>
    <row r="38" spans="1:13" x14ac:dyDescent="0.25">
      <c r="A38" s="189" t="s">
        <v>145</v>
      </c>
      <c r="B38" s="19" t="s">
        <v>49</v>
      </c>
      <c r="C38" s="27" t="s">
        <v>12</v>
      </c>
      <c r="D38" s="28" t="s">
        <v>17</v>
      </c>
      <c r="E38" s="201" t="s">
        <v>154</v>
      </c>
      <c r="F38" s="21"/>
      <c r="G38" s="22"/>
      <c r="H38" s="22"/>
      <c r="I38" s="22"/>
      <c r="J38" s="192">
        <v>150000000</v>
      </c>
      <c r="K38" s="617" t="s">
        <v>241</v>
      </c>
    </row>
    <row r="39" spans="1:13" x14ac:dyDescent="0.25">
      <c r="A39" s="189" t="s">
        <v>145</v>
      </c>
      <c r="B39" s="19" t="s">
        <v>24</v>
      </c>
      <c r="C39" s="20" t="s">
        <v>12</v>
      </c>
      <c r="D39" s="28"/>
      <c r="E39" s="201" t="s">
        <v>155</v>
      </c>
      <c r="F39" s="21"/>
      <c r="G39" s="22"/>
      <c r="H39" s="22"/>
      <c r="I39" s="22"/>
      <c r="J39" s="192">
        <v>170000000</v>
      </c>
      <c r="K39" s="617" t="s">
        <v>241</v>
      </c>
    </row>
    <row r="40" spans="1:13" x14ac:dyDescent="0.25">
      <c r="A40" s="189" t="s">
        <v>145</v>
      </c>
      <c r="B40" s="193" t="s">
        <v>24</v>
      </c>
      <c r="C40" s="194" t="s">
        <v>12</v>
      </c>
      <c r="D40" s="197"/>
      <c r="E40" s="196" t="s">
        <v>156</v>
      </c>
      <c r="F40" s="197"/>
      <c r="G40" s="198"/>
      <c r="H40" s="198"/>
      <c r="I40" s="198"/>
      <c r="J40" s="199">
        <v>300000000</v>
      </c>
      <c r="K40" s="618" t="s">
        <v>242</v>
      </c>
    </row>
    <row r="41" spans="1:13" x14ac:dyDescent="0.25">
      <c r="A41" s="202" t="s">
        <v>157</v>
      </c>
      <c r="B41" s="203" t="s">
        <v>16</v>
      </c>
      <c r="C41" s="204" t="s">
        <v>12</v>
      </c>
      <c r="D41" s="205" t="s">
        <v>17</v>
      </c>
      <c r="E41" s="206" t="s">
        <v>158</v>
      </c>
      <c r="F41" s="207"/>
      <c r="G41" s="208"/>
      <c r="H41" s="208"/>
      <c r="I41" s="208"/>
      <c r="J41" s="209">
        <v>150000000</v>
      </c>
      <c r="K41" s="619" t="s">
        <v>243</v>
      </c>
      <c r="L41" s="210" t="s">
        <v>149</v>
      </c>
    </row>
    <row r="42" spans="1:13" x14ac:dyDescent="0.25">
      <c r="A42" s="202" t="s">
        <v>157</v>
      </c>
      <c r="B42" s="203" t="s">
        <v>20</v>
      </c>
      <c r="C42" s="204" t="s">
        <v>12</v>
      </c>
      <c r="D42" s="205" t="s">
        <v>17</v>
      </c>
      <c r="E42" s="206" t="s">
        <v>159</v>
      </c>
      <c r="F42" s="207"/>
      <c r="G42" s="208"/>
      <c r="H42" s="208"/>
      <c r="I42" s="208"/>
      <c r="J42" s="621">
        <v>200000000</v>
      </c>
      <c r="K42" s="622" t="s">
        <v>243</v>
      </c>
    </row>
    <row r="43" spans="1:13" x14ac:dyDescent="0.25">
      <c r="A43" s="211" t="s">
        <v>160</v>
      </c>
      <c r="B43" s="212"/>
      <c r="C43" s="213"/>
      <c r="D43" s="214"/>
      <c r="E43" s="215"/>
      <c r="F43" s="216"/>
      <c r="G43" s="217"/>
      <c r="H43" s="217"/>
      <c r="I43" s="217"/>
      <c r="J43" s="218"/>
      <c r="K43" s="219"/>
      <c r="M43" s="620" t="s">
        <v>312</v>
      </c>
    </row>
    <row r="44" spans="1:13" x14ac:dyDescent="0.25">
      <c r="A44" s="212"/>
      <c r="B44" s="212"/>
      <c r="C44" s="213"/>
      <c r="D44" s="214"/>
      <c r="E44" s="215"/>
      <c r="F44" s="216"/>
      <c r="G44" s="217"/>
      <c r="H44" s="217"/>
      <c r="I44" s="217"/>
      <c r="J44" s="218"/>
      <c r="K44" s="219"/>
    </row>
    <row r="45" spans="1:13" x14ac:dyDescent="0.25">
      <c r="A45" s="212"/>
      <c r="B45" s="29"/>
      <c r="C45" s="30"/>
      <c r="D45" s="99"/>
      <c r="E45" s="100"/>
      <c r="F45" s="225"/>
      <c r="G45" s="225"/>
      <c r="H45" s="225"/>
      <c r="I45" s="225"/>
      <c r="J45" s="99"/>
    </row>
    <row r="46" spans="1:13" x14ac:dyDescent="0.25">
      <c r="A46" s="29"/>
      <c r="B46" s="29"/>
      <c r="C46" s="30"/>
      <c r="D46" s="99"/>
      <c r="E46" s="100"/>
      <c r="F46" s="225"/>
      <c r="G46" s="225"/>
      <c r="H46" s="225"/>
      <c r="I46" s="225"/>
      <c r="J46" s="99"/>
    </row>
    <row r="47" spans="1:13" hidden="1" x14ac:dyDescent="0.25">
      <c r="A47" s="29"/>
      <c r="B47" s="43" t="s">
        <v>64</v>
      </c>
      <c r="C47" s="30"/>
      <c r="D47" s="99"/>
      <c r="E47" s="100"/>
      <c r="F47" s="225"/>
      <c r="G47" s="225"/>
      <c r="H47" s="225"/>
      <c r="I47" s="225"/>
      <c r="J47" s="99"/>
    </row>
    <row r="48" spans="1:13" hidden="1" x14ac:dyDescent="0.25">
      <c r="A48" s="29"/>
      <c r="B48" s="29"/>
      <c r="C48" s="30"/>
      <c r="D48" s="99"/>
      <c r="E48" s="100"/>
      <c r="F48" s="225"/>
      <c r="G48" s="225"/>
      <c r="H48" s="225"/>
      <c r="I48" s="225"/>
      <c r="J48" s="99"/>
    </row>
    <row r="49" spans="1:12" ht="15.75" hidden="1" x14ac:dyDescent="0.25">
      <c r="A49" s="29"/>
      <c r="B49" s="29"/>
      <c r="C49" s="226" t="s">
        <v>162</v>
      </c>
      <c r="D49" s="227" t="s">
        <v>163</v>
      </c>
      <c r="E49" s="86" t="s">
        <v>67</v>
      </c>
      <c r="F49" s="228" t="s">
        <v>164</v>
      </c>
      <c r="G49" s="38"/>
      <c r="H49" s="38"/>
      <c r="I49" s="38"/>
      <c r="J49" s="102"/>
      <c r="K49" s="229"/>
      <c r="L49" s="229"/>
    </row>
    <row r="50" spans="1:12" ht="15.75" hidden="1" x14ac:dyDescent="0.25">
      <c r="A50" s="29"/>
      <c r="B50" s="61" t="s">
        <v>68</v>
      </c>
      <c r="C50" s="87">
        <f>C51+C55</f>
        <v>13939430000</v>
      </c>
      <c r="D50" s="230">
        <f>D7</f>
        <v>13639683096</v>
      </c>
      <c r="E50" s="231">
        <f>C50-D50</f>
        <v>299746904</v>
      </c>
      <c r="F50" s="232" t="s">
        <v>165</v>
      </c>
      <c r="G50" s="233"/>
      <c r="H50" s="233"/>
      <c r="I50" s="234"/>
      <c r="J50" s="235"/>
      <c r="K50" s="39"/>
      <c r="L50" s="102"/>
    </row>
    <row r="51" spans="1:12" hidden="1" x14ac:dyDescent="0.25">
      <c r="A51" s="29"/>
      <c r="B51" s="65" t="s">
        <v>69</v>
      </c>
      <c r="C51" s="90">
        <f>C52+C53+C54</f>
        <v>13589430000</v>
      </c>
      <c r="D51" s="230">
        <f>D8</f>
        <v>12680855496</v>
      </c>
      <c r="E51" s="231">
        <f>C51-D51</f>
        <v>908574504</v>
      </c>
      <c r="F51" s="232" t="s">
        <v>166</v>
      </c>
      <c r="G51" s="236"/>
      <c r="H51" s="236"/>
      <c r="I51" s="236"/>
      <c r="J51" s="237"/>
      <c r="K51" s="39"/>
      <c r="L51" s="102"/>
    </row>
    <row r="52" spans="1:12" hidden="1" x14ac:dyDescent="0.25">
      <c r="A52" s="29"/>
      <c r="B52" s="91" t="s">
        <v>70</v>
      </c>
      <c r="C52" s="238">
        <f>J19+J20+J21+J22+J23+J24+J25+J26+J27+J28+J29+J30++J31+J32+J33+J34</f>
        <v>11919430000</v>
      </c>
      <c r="D52" s="239"/>
      <c r="E52" s="239"/>
      <c r="F52" s="109"/>
      <c r="G52" s="240"/>
      <c r="H52" s="240"/>
      <c r="I52" s="240"/>
      <c r="J52" s="241"/>
      <c r="K52" s="102"/>
      <c r="L52" s="102"/>
    </row>
    <row r="53" spans="1:12" hidden="1" x14ac:dyDescent="0.25">
      <c r="B53" s="93" t="s">
        <v>71</v>
      </c>
      <c r="C53" s="238">
        <f>J36+J38+J39</f>
        <v>720000000</v>
      </c>
      <c r="D53" s="239"/>
      <c r="E53" s="239"/>
      <c r="F53" s="109"/>
      <c r="G53" s="242"/>
      <c r="H53" s="242"/>
      <c r="I53" s="242"/>
      <c r="J53" s="241"/>
      <c r="K53" s="102"/>
      <c r="L53" s="102"/>
    </row>
    <row r="54" spans="1:12" hidden="1" x14ac:dyDescent="0.25">
      <c r="B54" s="94" t="s">
        <v>72</v>
      </c>
      <c r="C54" s="238">
        <f>J35+J37+J40</f>
        <v>950000000</v>
      </c>
      <c r="D54" s="239"/>
      <c r="E54" s="239"/>
      <c r="F54" s="109"/>
      <c r="G54" s="243"/>
      <c r="H54" s="243"/>
      <c r="I54" s="243"/>
      <c r="J54" s="241"/>
      <c r="K54" s="102"/>
      <c r="L54" s="102"/>
    </row>
    <row r="55" spans="1:12" hidden="1" x14ac:dyDescent="0.25">
      <c r="B55" s="95" t="s">
        <v>73</v>
      </c>
      <c r="C55" s="244">
        <f>J41+J42</f>
        <v>350000000</v>
      </c>
      <c r="D55" s="230">
        <f>D13</f>
        <v>958827600</v>
      </c>
      <c r="E55" s="230">
        <f>C55-D55</f>
        <v>-608827600</v>
      </c>
      <c r="F55" s="245" t="s">
        <v>167</v>
      </c>
      <c r="G55" s="246"/>
      <c r="H55" s="246"/>
      <c r="I55" s="247"/>
      <c r="J55" s="237"/>
      <c r="K55" s="39"/>
      <c r="L55" s="39"/>
    </row>
    <row r="56" spans="1:12" hidden="1" x14ac:dyDescent="0.25"/>
    <row r="57" spans="1:12" hidden="1" x14ac:dyDescent="0.25"/>
  </sheetData>
  <mergeCells count="1">
    <mergeCell ref="E4:M4"/>
  </mergeCells>
  <conditionalFormatting sqref="N1:N2 N6:N16">
    <cfRule type="cellIs" dxfId="18" priority="1" operator="lessThan">
      <formula>0</formula>
    </cfRule>
    <cfRule type="cellIs" dxfId="17" priority="2" operator="greaterThan">
      <formula>-1</formula>
    </cfRule>
  </conditionalFormatting>
  <pageMargins left="0.38582677165354329" right="0.38582677165354329" top="0.3543307086614173" bottom="0.3543307086614173" header="0.3" footer="0.3"/>
  <pageSetup paperSize="8" firstPageNumber="2147483648" orientation="landscape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200-000000000000}">
          <x14:formula1>
            <xm:f>'C:\Users\user\Nextcloud\FST\94_Materiály pro SFŽP a O330\02_Finanční tabulky\[Výpočtová tabulka OPST_verze 7.xlsx]Kódy intervence'!#REF!</xm:f>
          </x14:formula1>
          <xm:sqref>F19:F32</xm:sqref>
        </x14:dataValidation>
        <x14:dataValidation type="list" allowBlank="1" showInputMessage="1" showErrorMessage="1" promptTitle="Vybrat zdrojový fond financování" xr:uid="{00000000-0002-0000-0200-000001000000}">
          <x14:formula1>
            <xm:f>'C:\Users\user\Nextcloud\FST\94_Materiály pro SFŽP a O330\02_Finanční tabulky\[Výpočtová tabulka OPST_verze 7.xlsx]Cíle'!#REF!</xm:f>
          </x14:formula1>
          <xm:sqref>C19:D32</xm:sqref>
        </x14:dataValidation>
        <x14:dataValidation type="list" allowBlank="1" showInputMessage="1" showErrorMessage="1" xr:uid="{00000000-0002-0000-0200-000003000000}">
          <x14:formula1>
            <xm:f>'C:\Users\user\Nextcloud\FST\94_Materiály pro SFŽP a O330\02_Finanční tabulky\[Výpočtová tabulka OPST_verze 7.xlsx]Cíle'!#REF!</xm:f>
          </x14:formula1>
          <xm:sqref>B19:B32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DEB98-CC46-4A0C-B695-251336D3D3C0}">
  <sheetPr>
    <tabColor rgb="FFE73938"/>
  </sheetPr>
  <dimension ref="A2:M49"/>
  <sheetViews>
    <sheetView zoomScale="70" workbookViewId="0">
      <selection activeCell="C3" sqref="C3"/>
    </sheetView>
  </sheetViews>
  <sheetFormatPr defaultRowHeight="15" outlineLevelCol="1" x14ac:dyDescent="0.25"/>
  <cols>
    <col min="1" max="1" width="39" style="479" customWidth="1"/>
    <col min="2" max="2" width="16.28515625" style="479" bestFit="1" customWidth="1"/>
    <col min="3" max="3" width="40.140625" style="479" customWidth="1"/>
    <col min="4" max="4" width="41.140625" style="479" customWidth="1"/>
    <col min="5" max="5" width="20.5703125" style="479" customWidth="1" outlineLevel="1"/>
    <col min="6" max="6" width="21.5703125" style="479" customWidth="1" outlineLevel="1"/>
    <col min="7" max="7" width="17.85546875" style="479" customWidth="1" outlineLevel="1"/>
    <col min="8" max="8" width="25" style="479" customWidth="1" outlineLevel="1"/>
    <col min="9" max="9" width="30.140625" style="479" customWidth="1" outlineLevel="1" collapsed="1"/>
    <col min="10" max="10" width="25.7109375" style="479" customWidth="1"/>
    <col min="11" max="11" width="23" style="479" bestFit="1" customWidth="1"/>
    <col min="12" max="12" width="12.5703125" style="479" customWidth="1"/>
    <col min="13" max="13" width="12.28515625" style="480" bestFit="1" customWidth="1"/>
    <col min="14" max="16" width="10.5703125" style="479" customWidth="1"/>
    <col min="17" max="16384" width="9.140625" style="479"/>
  </cols>
  <sheetData>
    <row r="2" spans="1:13" ht="36" x14ac:dyDescent="0.25">
      <c r="A2" s="635" t="s">
        <v>258</v>
      </c>
    </row>
    <row r="3" spans="1:13" x14ac:dyDescent="0.25">
      <c r="A3" s="514"/>
      <c r="B3" s="542" t="s">
        <v>161</v>
      </c>
      <c r="C3" s="543">
        <v>24</v>
      </c>
    </row>
    <row r="4" spans="1:13" x14ac:dyDescent="0.25">
      <c r="A4" s="519"/>
      <c r="B4" s="520" t="s">
        <v>235</v>
      </c>
      <c r="C4" s="520" t="s">
        <v>234</v>
      </c>
      <c r="D4" s="451" t="s">
        <v>247</v>
      </c>
      <c r="E4" s="471" t="s">
        <v>240</v>
      </c>
      <c r="F4" s="472" t="s">
        <v>241</v>
      </c>
      <c r="G4" s="473" t="s">
        <v>242</v>
      </c>
      <c r="H4" s="474" t="s">
        <v>243</v>
      </c>
      <c r="I4" s="459" t="s">
        <v>248</v>
      </c>
      <c r="M4" s="479"/>
    </row>
    <row r="5" spans="1:13" ht="21" x14ac:dyDescent="0.35">
      <c r="A5" s="521" t="s">
        <v>55</v>
      </c>
      <c r="B5" s="522">
        <f>B7+B11</f>
        <v>726458704</v>
      </c>
      <c r="C5" s="523">
        <f>B5*C3</f>
        <v>17435008896</v>
      </c>
      <c r="D5" s="445">
        <f>SUM(E5:H5)</f>
        <v>17958984000</v>
      </c>
      <c r="E5" s="445">
        <f>SUMIF($F$19:$F$44,"Vyhlášeno",$E$19:$E$44)+SUMIF($F$19:$F$44,"V plánu",$E$19:$E$44)</f>
        <v>14191584000</v>
      </c>
      <c r="F5" s="445">
        <f>SUMIF($F$19:$F$44,F$4,$E$19:$E$44)</f>
        <v>1825000000</v>
      </c>
      <c r="G5" s="445">
        <f>SUMIF($F$19:$F$44,G$4,$E$19:$E$44)</f>
        <v>1942400000</v>
      </c>
      <c r="H5" s="445">
        <f>SUMIF($F$19:$F$44,H$4,$E$19:$E$44)</f>
        <v>0</v>
      </c>
      <c r="I5" s="460">
        <f>D5-C5</f>
        <v>523975104</v>
      </c>
      <c r="M5" s="479"/>
    </row>
    <row r="6" spans="1:13" ht="15.75" x14ac:dyDescent="0.25">
      <c r="A6" s="524" t="s">
        <v>56</v>
      </c>
      <c r="B6" s="525">
        <f>B5-B13</f>
        <v>678745025</v>
      </c>
      <c r="C6" s="526">
        <f>B6*C3</f>
        <v>16289880600</v>
      </c>
      <c r="D6" s="452">
        <f>SUM(E6:H6)</f>
        <v>17958984000</v>
      </c>
      <c r="E6" s="452">
        <f>SUMIF($F$19:$F$44,"Vyhlášeno",$E$19:$E$44)+SUMIF($F$19:$F$44,"V plánu",$E$19:$E$44)</f>
        <v>14191584000</v>
      </c>
      <c r="F6" s="461">
        <f>SUMIF($F$19:$F$44,F$4,$E$19:$E$44)</f>
        <v>1825000000</v>
      </c>
      <c r="G6" s="461">
        <f>SUMIF($F$19:$F$44,G$4,$E$19:$E$44)</f>
        <v>1942400000</v>
      </c>
      <c r="H6" s="461">
        <f>SUMIF($K$18:$K$45,H$5,$J$18:$J$45)</f>
        <v>0</v>
      </c>
      <c r="I6" s="452">
        <f t="shared" ref="I6:I12" si="0">D6-C6</f>
        <v>1669103400</v>
      </c>
      <c r="M6" s="479"/>
    </row>
    <row r="7" spans="1:13" ht="15.75" x14ac:dyDescent="0.25">
      <c r="A7" s="527" t="s">
        <v>57</v>
      </c>
      <c r="B7" s="528">
        <f>B8+B9+B10</f>
        <v>631031346</v>
      </c>
      <c r="C7" s="529">
        <f>B7*C3</f>
        <v>15144752304</v>
      </c>
      <c r="D7" s="447">
        <f>SUM(E7:H7)</f>
        <v>17958984000</v>
      </c>
      <c r="E7" s="447">
        <f>SUMIF($F$19:$F$44,"Vyhlášeno",$E$19:$E$44)+SUMIF($F$19:$F$44,"V plánu",$E$19:$E$44)</f>
        <v>14191584000</v>
      </c>
      <c r="F7" s="461">
        <f>SUMIF($F$19:$F$44,F$4,$E$19:$E$44)</f>
        <v>1825000000</v>
      </c>
      <c r="G7" s="461">
        <f>SUMIF($F$19:$F$44,G$4,$E$19:$E$44)</f>
        <v>1942400000</v>
      </c>
      <c r="H7" s="447" t="s">
        <v>236</v>
      </c>
      <c r="I7" s="454">
        <f t="shared" si="0"/>
        <v>2814231696</v>
      </c>
      <c r="M7" s="479"/>
    </row>
    <row r="8" spans="1:13" x14ac:dyDescent="0.25">
      <c r="A8" s="530" t="s">
        <v>58</v>
      </c>
      <c r="B8" s="531">
        <v>256894559</v>
      </c>
      <c r="C8" s="532">
        <f>B8*C3</f>
        <v>6165469416</v>
      </c>
      <c r="D8" s="447" t="s">
        <v>236</v>
      </c>
      <c r="E8" s="447" t="s">
        <v>236</v>
      </c>
      <c r="F8" s="447" t="s">
        <v>236</v>
      </c>
      <c r="G8" s="447" t="s">
        <v>236</v>
      </c>
      <c r="H8" s="447" t="s">
        <v>236</v>
      </c>
      <c r="I8" s="454" t="s">
        <v>236</v>
      </c>
      <c r="M8" s="479"/>
    </row>
    <row r="9" spans="1:13" x14ac:dyDescent="0.25">
      <c r="A9" s="530" t="s">
        <v>59</v>
      </c>
      <c r="B9" s="531">
        <v>261021055</v>
      </c>
      <c r="C9" s="532">
        <f>B9*C3</f>
        <v>6264505320</v>
      </c>
      <c r="D9" s="447" t="s">
        <v>236</v>
      </c>
      <c r="E9" s="447" t="s">
        <v>236</v>
      </c>
      <c r="F9" s="447" t="s">
        <v>236</v>
      </c>
      <c r="G9" s="447" t="s">
        <v>236</v>
      </c>
      <c r="H9" s="447" t="s">
        <v>236</v>
      </c>
      <c r="I9" s="454" t="s">
        <v>236</v>
      </c>
      <c r="M9" s="479"/>
    </row>
    <row r="10" spans="1:13" x14ac:dyDescent="0.25">
      <c r="A10" s="530" t="s">
        <v>60</v>
      </c>
      <c r="B10" s="531">
        <v>113115732</v>
      </c>
      <c r="C10" s="533">
        <f>B10*C3</f>
        <v>2714777568</v>
      </c>
      <c r="D10" s="447" t="s">
        <v>236</v>
      </c>
      <c r="E10" s="447" t="s">
        <v>236</v>
      </c>
      <c r="F10" s="447" t="s">
        <v>236</v>
      </c>
      <c r="G10" s="447" t="s">
        <v>236</v>
      </c>
      <c r="H10" s="447" t="s">
        <v>236</v>
      </c>
      <c r="I10" s="454" t="s">
        <v>236</v>
      </c>
      <c r="M10" s="479"/>
    </row>
    <row r="11" spans="1:13" ht="15.75" x14ac:dyDescent="0.25">
      <c r="A11" s="527" t="s">
        <v>61</v>
      </c>
      <c r="B11" s="528">
        <f>B12+B13</f>
        <v>95427358</v>
      </c>
      <c r="C11" s="534">
        <f>B11*C3</f>
        <v>2290256592</v>
      </c>
      <c r="D11" s="452">
        <f>SUM(E11:H11)</f>
        <v>0</v>
      </c>
      <c r="E11" s="452" t="s">
        <v>236</v>
      </c>
      <c r="F11" s="452" t="s">
        <v>236</v>
      </c>
      <c r="G11" s="452" t="s">
        <v>236</v>
      </c>
      <c r="H11" s="461">
        <f>SUMIF($F$19:$F$44,H$4,$E$19:$E$44)</f>
        <v>0</v>
      </c>
      <c r="I11" s="452">
        <f t="shared" si="0"/>
        <v>-2290256592</v>
      </c>
      <c r="M11" s="479"/>
    </row>
    <row r="12" spans="1:13" x14ac:dyDescent="0.25">
      <c r="A12" s="530" t="s">
        <v>245</v>
      </c>
      <c r="B12" s="531">
        <v>47713679</v>
      </c>
      <c r="C12" s="533">
        <f>B12*C3</f>
        <v>1145128296</v>
      </c>
      <c r="D12" s="478">
        <f>SUM(E12:H12)</f>
        <v>0</v>
      </c>
      <c r="E12" s="478" t="s">
        <v>236</v>
      </c>
      <c r="F12" s="478" t="s">
        <v>236</v>
      </c>
      <c r="G12" s="478" t="s">
        <v>236</v>
      </c>
      <c r="H12" s="478">
        <f>SUMIF($F$19:$F$44,H$4,$E$19:$E$44)</f>
        <v>0</v>
      </c>
      <c r="I12" s="456">
        <f t="shared" si="0"/>
        <v>-1145128296</v>
      </c>
      <c r="M12" s="479"/>
    </row>
    <row r="13" spans="1:13" x14ac:dyDescent="0.25">
      <c r="A13" s="530" t="s">
        <v>246</v>
      </c>
      <c r="B13" s="531">
        <v>47713679</v>
      </c>
      <c r="C13" s="533">
        <f>B13*C3</f>
        <v>1145128296</v>
      </c>
      <c r="D13" s="457" t="s">
        <v>236</v>
      </c>
      <c r="E13" s="457" t="s">
        <v>236</v>
      </c>
      <c r="F13" s="457" t="s">
        <v>236</v>
      </c>
      <c r="G13" s="457" t="s">
        <v>236</v>
      </c>
      <c r="H13" s="458"/>
      <c r="I13" s="456"/>
      <c r="M13" s="479"/>
    </row>
    <row r="18" spans="1:13" ht="36" customHeight="1" x14ac:dyDescent="0.25">
      <c r="A18" s="624" t="s">
        <v>1</v>
      </c>
      <c r="B18" s="624" t="s">
        <v>2</v>
      </c>
      <c r="C18" s="624" t="s">
        <v>3</v>
      </c>
      <c r="D18" s="624" t="s">
        <v>168</v>
      </c>
      <c r="E18" s="625" t="s">
        <v>8</v>
      </c>
      <c r="F18" s="625" t="s">
        <v>9</v>
      </c>
      <c r="G18" s="475" t="s">
        <v>237</v>
      </c>
      <c r="H18" s="475" t="s">
        <v>238</v>
      </c>
      <c r="J18" s="480"/>
      <c r="M18" s="479"/>
    </row>
    <row r="19" spans="1:13" x14ac:dyDescent="0.25">
      <c r="A19" s="481" t="s">
        <v>11</v>
      </c>
      <c r="B19" s="482" t="s">
        <v>12</v>
      </c>
      <c r="C19" s="482" t="s">
        <v>13</v>
      </c>
      <c r="D19" s="483" t="s">
        <v>14</v>
      </c>
      <c r="E19" s="484">
        <v>8720000000</v>
      </c>
      <c r="F19" s="485" t="s">
        <v>15</v>
      </c>
      <c r="H19" s="480"/>
      <c r="J19" s="480"/>
      <c r="M19" s="479"/>
    </row>
    <row r="20" spans="1:13" x14ac:dyDescent="0.25">
      <c r="A20" s="481" t="s">
        <v>16</v>
      </c>
      <c r="B20" s="482" t="s">
        <v>12</v>
      </c>
      <c r="C20" s="482" t="s">
        <v>17</v>
      </c>
      <c r="D20" s="486" t="s">
        <v>18</v>
      </c>
      <c r="E20" s="484">
        <v>200000000</v>
      </c>
      <c r="F20" s="485" t="s">
        <v>15</v>
      </c>
      <c r="H20" s="480"/>
      <c r="J20" s="480"/>
      <c r="M20" s="479"/>
    </row>
    <row r="21" spans="1:13" x14ac:dyDescent="0.25">
      <c r="A21" s="481" t="s">
        <v>20</v>
      </c>
      <c r="B21" s="482" t="s">
        <v>12</v>
      </c>
      <c r="C21" s="482" t="s">
        <v>17</v>
      </c>
      <c r="D21" s="486" t="s">
        <v>21</v>
      </c>
      <c r="E21" s="484">
        <v>160000000</v>
      </c>
      <c r="F21" s="485" t="s">
        <v>15</v>
      </c>
      <c r="H21" s="480"/>
      <c r="J21" s="480"/>
      <c r="M21" s="479"/>
    </row>
    <row r="22" spans="1:13" x14ac:dyDescent="0.25">
      <c r="A22" s="481" t="s">
        <v>22</v>
      </c>
      <c r="B22" s="482" t="s">
        <v>12</v>
      </c>
      <c r="C22" s="482" t="s">
        <v>17</v>
      </c>
      <c r="D22" s="486" t="s">
        <v>23</v>
      </c>
      <c r="E22" s="484">
        <v>300000000</v>
      </c>
      <c r="F22" s="485" t="s">
        <v>15</v>
      </c>
      <c r="H22" s="480"/>
      <c r="J22" s="480"/>
      <c r="M22" s="479"/>
    </row>
    <row r="23" spans="1:13" x14ac:dyDescent="0.25">
      <c r="A23" s="481" t="s">
        <v>24</v>
      </c>
      <c r="B23" s="482" t="s">
        <v>12</v>
      </c>
      <c r="C23" s="482" t="s">
        <v>25</v>
      </c>
      <c r="D23" s="486" t="s">
        <v>26</v>
      </c>
      <c r="E23" s="484">
        <v>230000000</v>
      </c>
      <c r="F23" s="485" t="s">
        <v>15</v>
      </c>
      <c r="H23" s="480"/>
      <c r="J23" s="480"/>
      <c r="M23" s="479"/>
    </row>
    <row r="24" spans="1:13" x14ac:dyDescent="0.25">
      <c r="A24" s="481" t="s">
        <v>24</v>
      </c>
      <c r="B24" s="482" t="s">
        <v>12</v>
      </c>
      <c r="C24" s="482" t="s">
        <v>27</v>
      </c>
      <c r="D24" s="486" t="s">
        <v>28</v>
      </c>
      <c r="E24" s="484">
        <v>1000000000</v>
      </c>
      <c r="F24" s="485" t="s">
        <v>15</v>
      </c>
      <c r="H24" s="480"/>
      <c r="J24" s="480"/>
      <c r="M24" s="479"/>
    </row>
    <row r="25" spans="1:13" x14ac:dyDescent="0.25">
      <c r="A25" s="481" t="s">
        <v>11</v>
      </c>
      <c r="B25" s="482" t="s">
        <v>12</v>
      </c>
      <c r="C25" s="482" t="s">
        <v>25</v>
      </c>
      <c r="D25" s="486" t="s">
        <v>29</v>
      </c>
      <c r="E25" s="487">
        <v>200000000</v>
      </c>
      <c r="F25" s="485" t="s">
        <v>30</v>
      </c>
      <c r="H25" s="480"/>
      <c r="J25" s="480"/>
      <c r="M25" s="479"/>
    </row>
    <row r="26" spans="1:13" x14ac:dyDescent="0.25">
      <c r="A26" s="481" t="s">
        <v>16</v>
      </c>
      <c r="B26" s="482" t="s">
        <v>12</v>
      </c>
      <c r="C26" s="482" t="s">
        <v>17</v>
      </c>
      <c r="D26" s="486" t="s">
        <v>31</v>
      </c>
      <c r="E26" s="484">
        <v>360000000</v>
      </c>
      <c r="F26" s="485" t="s">
        <v>15</v>
      </c>
      <c r="H26" s="480"/>
      <c r="J26" s="480"/>
      <c r="M26" s="479"/>
    </row>
    <row r="27" spans="1:13" x14ac:dyDescent="0.25">
      <c r="A27" s="481" t="s">
        <v>32</v>
      </c>
      <c r="B27" s="482" t="s">
        <v>12</v>
      </c>
      <c r="C27" s="482" t="s">
        <v>17</v>
      </c>
      <c r="D27" s="486" t="s">
        <v>33</v>
      </c>
      <c r="E27" s="484">
        <v>100000000</v>
      </c>
      <c r="F27" s="485" t="s">
        <v>15</v>
      </c>
      <c r="H27" s="480"/>
      <c r="J27" s="480"/>
      <c r="M27" s="479"/>
    </row>
    <row r="28" spans="1:13" x14ac:dyDescent="0.25">
      <c r="A28" s="481" t="s">
        <v>32</v>
      </c>
      <c r="B28" s="482" t="s">
        <v>12</v>
      </c>
      <c r="C28" s="482" t="s">
        <v>17</v>
      </c>
      <c r="D28" s="486" t="s">
        <v>34</v>
      </c>
      <c r="E28" s="484">
        <v>275000000</v>
      </c>
      <c r="F28" s="485" t="s">
        <v>15</v>
      </c>
      <c r="H28" s="480"/>
      <c r="J28" s="480"/>
      <c r="M28" s="479"/>
    </row>
    <row r="29" spans="1:13" x14ac:dyDescent="0.25">
      <c r="A29" s="481" t="s">
        <v>32</v>
      </c>
      <c r="B29" s="482" t="s">
        <v>12</v>
      </c>
      <c r="C29" s="482" t="s">
        <v>17</v>
      </c>
      <c r="D29" s="486" t="s">
        <v>35</v>
      </c>
      <c r="E29" s="484">
        <v>225000000</v>
      </c>
      <c r="F29" s="485" t="s">
        <v>15</v>
      </c>
      <c r="H29" s="480"/>
      <c r="J29" s="480"/>
      <c r="M29" s="479"/>
    </row>
    <row r="30" spans="1:13" x14ac:dyDescent="0.25">
      <c r="A30" s="481" t="s">
        <v>32</v>
      </c>
      <c r="B30" s="482" t="s">
        <v>12</v>
      </c>
      <c r="C30" s="482"/>
      <c r="D30" s="486" t="s">
        <v>36</v>
      </c>
      <c r="E30" s="484">
        <v>400000000</v>
      </c>
      <c r="F30" s="485" t="s">
        <v>15</v>
      </c>
      <c r="H30" s="480"/>
      <c r="J30" s="480"/>
      <c r="M30" s="479"/>
    </row>
    <row r="31" spans="1:13" x14ac:dyDescent="0.25">
      <c r="A31" s="488" t="s">
        <v>20</v>
      </c>
      <c r="B31" s="489" t="s">
        <v>12</v>
      </c>
      <c r="C31" s="489" t="s">
        <v>17</v>
      </c>
      <c r="D31" s="490" t="s">
        <v>38</v>
      </c>
      <c r="E31" s="484">
        <v>200000000</v>
      </c>
      <c r="F31" s="485" t="s">
        <v>30</v>
      </c>
      <c r="H31" s="480"/>
      <c r="J31" s="480"/>
      <c r="M31" s="479"/>
    </row>
    <row r="32" spans="1:13" x14ac:dyDescent="0.25">
      <c r="A32" s="491" t="s">
        <v>32</v>
      </c>
      <c r="B32" s="492" t="s">
        <v>12</v>
      </c>
      <c r="C32" s="493" t="s">
        <v>27</v>
      </c>
      <c r="D32" s="494" t="s">
        <v>169</v>
      </c>
      <c r="E32" s="484">
        <v>1000000000</v>
      </c>
      <c r="F32" s="485" t="s">
        <v>30</v>
      </c>
      <c r="H32" s="480"/>
      <c r="M32" s="479"/>
    </row>
    <row r="33" spans="1:13" x14ac:dyDescent="0.25">
      <c r="A33" s="491" t="s">
        <v>32</v>
      </c>
      <c r="B33" s="495" t="s">
        <v>12</v>
      </c>
      <c r="C33" s="495" t="s">
        <v>17</v>
      </c>
      <c r="D33" s="490" t="s">
        <v>170</v>
      </c>
      <c r="E33" s="484">
        <v>500000000</v>
      </c>
      <c r="F33" s="485" t="s">
        <v>15</v>
      </c>
      <c r="H33" s="480"/>
      <c r="M33" s="479"/>
    </row>
    <row r="34" spans="1:13" x14ac:dyDescent="0.25">
      <c r="A34" s="491" t="s">
        <v>11</v>
      </c>
      <c r="B34" s="491" t="s">
        <v>12</v>
      </c>
      <c r="C34" s="496" t="s">
        <v>17</v>
      </c>
      <c r="D34" s="497" t="s">
        <v>37</v>
      </c>
      <c r="E34" s="484">
        <v>91584000</v>
      </c>
      <c r="F34" s="538" t="s">
        <v>15</v>
      </c>
      <c r="H34" s="480"/>
      <c r="M34" s="479"/>
    </row>
    <row r="35" spans="1:13" x14ac:dyDescent="0.25">
      <c r="A35" s="481" t="s">
        <v>24</v>
      </c>
      <c r="B35" s="491" t="s">
        <v>12</v>
      </c>
      <c r="C35" s="482" t="s">
        <v>25</v>
      </c>
      <c r="D35" s="497" t="s">
        <v>39</v>
      </c>
      <c r="E35" s="484">
        <v>230000000</v>
      </c>
      <c r="F35" s="485" t="s">
        <v>30</v>
      </c>
      <c r="H35" s="190" t="s">
        <v>147</v>
      </c>
      <c r="M35" s="479"/>
    </row>
    <row r="36" spans="1:13" x14ac:dyDescent="0.25">
      <c r="A36" s="499" t="s">
        <v>49</v>
      </c>
      <c r="B36" s="500" t="s">
        <v>12</v>
      </c>
      <c r="C36" s="501" t="s">
        <v>17</v>
      </c>
      <c r="D36" s="502" t="s">
        <v>171</v>
      </c>
      <c r="E36" s="535">
        <v>1000000000</v>
      </c>
      <c r="F36" s="539" t="s">
        <v>241</v>
      </c>
      <c r="H36" s="623" t="s">
        <v>308</v>
      </c>
      <c r="M36" s="479"/>
    </row>
    <row r="37" spans="1:13" x14ac:dyDescent="0.25">
      <c r="A37" s="503"/>
      <c r="B37" s="504" t="s">
        <v>12</v>
      </c>
      <c r="C37" s="505"/>
      <c r="D37" s="502" t="s">
        <v>172</v>
      </c>
      <c r="E37" s="535">
        <v>10000000</v>
      </c>
      <c r="F37" s="539" t="s">
        <v>241</v>
      </c>
      <c r="H37" s="480"/>
      <c r="M37" s="479"/>
    </row>
    <row r="38" spans="1:13" x14ac:dyDescent="0.25">
      <c r="A38" s="498"/>
      <c r="B38" s="501" t="s">
        <v>12</v>
      </c>
      <c r="C38" s="506"/>
      <c r="D38" s="507" t="s">
        <v>143</v>
      </c>
      <c r="E38" s="535">
        <v>50000000</v>
      </c>
      <c r="F38" s="539" t="s">
        <v>241</v>
      </c>
      <c r="H38" s="480"/>
      <c r="M38" s="479"/>
    </row>
    <row r="39" spans="1:13" x14ac:dyDescent="0.25">
      <c r="A39" s="503"/>
      <c r="B39" s="501" t="s">
        <v>12</v>
      </c>
      <c r="C39" s="505"/>
      <c r="D39" s="508" t="s">
        <v>173</v>
      </c>
      <c r="E39" s="535">
        <v>600000000</v>
      </c>
      <c r="F39" s="539" t="s">
        <v>241</v>
      </c>
      <c r="H39" s="480"/>
      <c r="M39" s="479"/>
    </row>
    <row r="40" spans="1:13" x14ac:dyDescent="0.25">
      <c r="A40" s="503"/>
      <c r="B40" s="500" t="s">
        <v>12</v>
      </c>
      <c r="C40" s="505"/>
      <c r="D40" s="502" t="s">
        <v>174</v>
      </c>
      <c r="E40" s="535">
        <v>140000000</v>
      </c>
      <c r="F40" s="539" t="s">
        <v>241</v>
      </c>
      <c r="H40" s="480"/>
      <c r="M40" s="479"/>
    </row>
    <row r="41" spans="1:13" x14ac:dyDescent="0.25">
      <c r="A41" s="503"/>
      <c r="B41" s="500" t="s">
        <v>12</v>
      </c>
      <c r="C41" s="505"/>
      <c r="D41" s="502" t="s">
        <v>175</v>
      </c>
      <c r="E41" s="535">
        <v>25000000</v>
      </c>
      <c r="F41" s="539" t="s">
        <v>241</v>
      </c>
      <c r="H41" s="480"/>
      <c r="M41" s="479"/>
    </row>
    <row r="42" spans="1:13" x14ac:dyDescent="0.25">
      <c r="A42" s="509"/>
      <c r="B42" s="510" t="s">
        <v>12</v>
      </c>
      <c r="C42" s="511"/>
      <c r="D42" s="512" t="s">
        <v>176</v>
      </c>
      <c r="E42" s="536">
        <v>1742400000</v>
      </c>
      <c r="F42" s="540" t="s">
        <v>242</v>
      </c>
      <c r="H42" s="480"/>
      <c r="M42" s="479"/>
    </row>
    <row r="43" spans="1:13" x14ac:dyDescent="0.25">
      <c r="A43" s="509"/>
      <c r="B43" s="513" t="s">
        <v>12</v>
      </c>
      <c r="C43" s="511"/>
      <c r="D43" s="512" t="s">
        <v>41</v>
      </c>
      <c r="E43" s="536">
        <v>200000000</v>
      </c>
      <c r="F43" s="540" t="s">
        <v>242</v>
      </c>
      <c r="H43" s="480"/>
      <c r="M43" s="479"/>
    </row>
    <row r="44" spans="1:13" x14ac:dyDescent="0.25">
      <c r="A44" s="509"/>
      <c r="B44" s="510" t="s">
        <v>12</v>
      </c>
      <c r="C44" s="511"/>
      <c r="D44" s="512" t="s">
        <v>244</v>
      </c>
      <c r="E44" s="537">
        <v>0</v>
      </c>
      <c r="F44" s="540" t="s">
        <v>242</v>
      </c>
      <c r="H44" s="480"/>
      <c r="M44" s="479"/>
    </row>
    <row r="45" spans="1:13" x14ac:dyDescent="0.25">
      <c r="A45" s="514"/>
      <c r="B45" s="515"/>
      <c r="C45" s="516"/>
      <c r="D45" s="517"/>
      <c r="E45" s="480"/>
      <c r="H45" s="623" t="s">
        <v>311</v>
      </c>
      <c r="M45" s="479"/>
    </row>
    <row r="46" spans="1:13" x14ac:dyDescent="0.25">
      <c r="A46" s="514"/>
      <c r="B46" s="515"/>
      <c r="C46" s="516"/>
      <c r="D46" s="517"/>
      <c r="E46" s="480"/>
      <c r="H46" s="480"/>
      <c r="M46" s="479"/>
    </row>
    <row r="47" spans="1:13" x14ac:dyDescent="0.25">
      <c r="A47" s="514"/>
      <c r="B47" s="515"/>
      <c r="C47" s="516"/>
      <c r="D47" s="517"/>
      <c r="E47" s="516"/>
      <c r="F47" s="518"/>
      <c r="G47" s="518"/>
      <c r="H47" s="518"/>
      <c r="I47" s="480"/>
    </row>
    <row r="48" spans="1:13" x14ac:dyDescent="0.25">
      <c r="A48" s="514"/>
      <c r="B48" s="515"/>
      <c r="C48" s="516"/>
      <c r="D48" s="517"/>
      <c r="E48" s="516"/>
      <c r="F48" s="518"/>
      <c r="G48" s="518"/>
      <c r="H48" s="518"/>
      <c r="I48" s="480"/>
    </row>
    <row r="49" spans="4:9" x14ac:dyDescent="0.25">
      <c r="D49" s="517"/>
      <c r="E49" s="516"/>
      <c r="F49" s="518"/>
      <c r="G49" s="518"/>
      <c r="H49" s="518"/>
      <c r="I49" s="480"/>
    </row>
  </sheetData>
  <conditionalFormatting sqref="I5:I13">
    <cfRule type="cellIs" dxfId="7" priority="1" operator="lessThan">
      <formula>0</formula>
    </cfRule>
    <cfRule type="cellIs" dxfId="6" priority="2" operator="greaterThan">
      <formula>-1</formula>
    </cfRule>
  </conditionalFormatting>
  <pageMargins left="0.7" right="0.7" top="0.78740157500000008" bottom="0.78740157500000008" header="0.3" footer="0.3"/>
  <pageSetup paperSize="9" firstPageNumber="2147483648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Vybrat zdrojový fond financování" xr:uid="{5A879AFF-4497-4F18-A2AE-6E520FEF1774}">
          <x14:formula1>
            <xm:f>'C:\Users\user\Nextcloud\FST\94_Materiály pro SFŽP a O330\02_Finanční tabulky\[Výpočtová tabulka OPST_verze 7.xlsx]Cíle'!#REF!</xm:f>
          </x14:formula1>
          <xm:sqref>B19:C31 C35</xm:sqref>
        </x14:dataValidation>
        <x14:dataValidation type="list" allowBlank="1" showInputMessage="1" showErrorMessage="1" xr:uid="{7FE490D7-95DE-4F04-B75B-E0390651BD53}">
          <x14:formula1>
            <xm:f>'C:\Users\user\Nextcloud\FST\94_Materiály pro SFŽP a O330\02_Finanční tabulky\[Výpočtová tabulka OPST_verze 7.xlsx]Cíle'!#REF!</xm:f>
          </x14:formula1>
          <xm:sqref>A19:A31 A35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48"/>
  <sheetViews>
    <sheetView showGridLines="0" zoomScale="70" workbookViewId="0">
      <pane ySplit="1" topLeftCell="A2" activePane="bottomLeft" state="frozen"/>
      <selection activeCell="D36" sqref="D36"/>
      <selection pane="bottomLeft" activeCell="E42" sqref="E42"/>
    </sheetView>
  </sheetViews>
  <sheetFormatPr defaultColWidth="9.140625" defaultRowHeight="15" x14ac:dyDescent="0.25"/>
  <cols>
    <col min="1" max="1" width="55.5703125" style="248" customWidth="1"/>
    <col min="2" max="2" width="31.28515625" style="248" customWidth="1"/>
    <col min="3" max="3" width="29.28515625" style="248" customWidth="1"/>
    <col min="4" max="4" width="29.28515625" style="249" customWidth="1"/>
    <col min="5" max="5" width="30.140625" style="248" customWidth="1"/>
    <col min="6" max="6" width="43.140625" style="250" customWidth="1"/>
    <col min="7" max="7" width="40.42578125" style="250" customWidth="1"/>
    <col min="8" max="8" width="54.42578125" style="251" customWidth="1"/>
    <col min="9" max="9" width="22.42578125" style="251" hidden="1" customWidth="1"/>
    <col min="10" max="10" width="47.140625" style="251" hidden="1" customWidth="1"/>
    <col min="11" max="11" width="14.42578125" style="252" hidden="1" customWidth="1"/>
    <col min="12" max="12" width="37.7109375" style="248" customWidth="1"/>
    <col min="13" max="16384" width="9.140625" style="248"/>
  </cols>
  <sheetData>
    <row r="1" spans="1:14" ht="42" customHeight="1" x14ac:dyDescent="0.25">
      <c r="A1" s="253" t="s">
        <v>177</v>
      </c>
      <c r="B1" s="254">
        <v>726000000</v>
      </c>
      <c r="I1" t="s">
        <v>178</v>
      </c>
      <c r="J1" t="s">
        <v>179</v>
      </c>
      <c r="K1" t="s">
        <v>180</v>
      </c>
    </row>
    <row r="2" spans="1:14" ht="42" customHeight="1" x14ac:dyDescent="0.25">
      <c r="A2" s="255"/>
      <c r="B2" s="663"/>
      <c r="C2" s="663"/>
      <c r="D2" s="256"/>
      <c r="E2" s="256"/>
      <c r="G2" s="257" t="s">
        <v>181</v>
      </c>
      <c r="H2" s="257" t="s">
        <v>182</v>
      </c>
      <c r="I2" s="258"/>
      <c r="J2" s="258"/>
      <c r="K2" s="259"/>
      <c r="L2" s="260"/>
      <c r="M2" s="260"/>
      <c r="N2" s="260"/>
    </row>
    <row r="3" spans="1:14" ht="21" customHeight="1" x14ac:dyDescent="0.25">
      <c r="A3" s="261"/>
      <c r="B3" s="262" t="s">
        <v>183</v>
      </c>
      <c r="C3" s="263" t="s">
        <v>184</v>
      </c>
      <c r="D3" s="264" t="s">
        <v>145</v>
      </c>
      <c r="E3" s="265" t="s">
        <v>185</v>
      </c>
      <c r="F3" s="266"/>
      <c r="G3" s="267"/>
      <c r="H3" s="268"/>
      <c r="I3" s="258"/>
      <c r="J3" s="258"/>
      <c r="K3" s="259"/>
      <c r="L3" s="260"/>
      <c r="M3" s="260"/>
      <c r="N3" s="260"/>
    </row>
    <row r="4" spans="1:14" ht="42" customHeight="1" x14ac:dyDescent="0.25">
      <c r="A4" s="262" t="s">
        <v>186</v>
      </c>
      <c r="B4" s="269">
        <f>B1*26</f>
        <v>18876000000</v>
      </c>
      <c r="C4" s="270">
        <f>B1*24</f>
        <v>17424000000</v>
      </c>
      <c r="D4" s="271"/>
      <c r="E4" s="272"/>
      <c r="F4" s="266"/>
      <c r="G4" s="273">
        <v>17435008896</v>
      </c>
      <c r="H4" s="268"/>
      <c r="I4" s="258"/>
      <c r="J4" s="258"/>
      <c r="K4" s="259"/>
      <c r="L4" s="260"/>
      <c r="M4" s="260"/>
      <c r="N4" s="260"/>
    </row>
    <row r="5" spans="1:14" ht="42" customHeight="1" x14ac:dyDescent="0.25">
      <c r="A5" s="274" t="s">
        <v>14</v>
      </c>
      <c r="B5" s="275">
        <f>B4/2</f>
        <v>9438000000</v>
      </c>
      <c r="C5" s="276">
        <v>8720000000</v>
      </c>
      <c r="D5" s="277">
        <v>8720000000</v>
      </c>
      <c r="E5" s="278"/>
      <c r="F5" s="279"/>
      <c r="G5" s="280">
        <v>8720000000</v>
      </c>
      <c r="H5" s="281"/>
      <c r="I5" s="282"/>
      <c r="J5" s="283"/>
      <c r="K5" s="284"/>
      <c r="L5" s="260"/>
      <c r="M5" s="260"/>
      <c r="N5" s="260"/>
    </row>
    <row r="6" spans="1:14" ht="42" customHeight="1" x14ac:dyDescent="0.25">
      <c r="A6" s="285" t="s">
        <v>187</v>
      </c>
      <c r="B6" s="275">
        <f>B4*10%</f>
        <v>1887600000</v>
      </c>
      <c r="C6" s="276">
        <f>C4*10%</f>
        <v>1742400000</v>
      </c>
      <c r="D6" s="286">
        <v>1742400000</v>
      </c>
      <c r="E6" s="287"/>
      <c r="G6" s="288">
        <v>0</v>
      </c>
      <c r="H6" s="281" t="s">
        <v>188</v>
      </c>
      <c r="I6" s="289"/>
      <c r="J6" s="290"/>
      <c r="K6" s="291"/>
      <c r="L6" s="260"/>
      <c r="M6" s="260"/>
      <c r="N6" s="260"/>
    </row>
    <row r="7" spans="1:14" ht="42.75" customHeight="1" x14ac:dyDescent="0.25">
      <c r="A7" s="274" t="s">
        <v>189</v>
      </c>
      <c r="B7" s="275">
        <f>B8+B9+B10+B11+B12+B13+B18+B19+B20+B21+B22+B23+B24</f>
        <v>5671584000</v>
      </c>
      <c r="C7" s="276">
        <f>C8+C9+C10+C11+C12+C13+C18+C19+C20+C21+C22+C23+C24</f>
        <v>5671584000</v>
      </c>
      <c r="D7" s="292">
        <f>D8+D9+D10+D11+D12+D13+D18+D19+D20+D21+D22+D23+D24+E8+E9</f>
        <v>5671584000</v>
      </c>
      <c r="E7" s="293"/>
      <c r="F7" s="294"/>
      <c r="G7" s="295">
        <f>G8+G9+G10+G11+G12+G13+G18+G19+G20+G21+G22+G23+G24</f>
        <v>4241584000</v>
      </c>
      <c r="H7" s="268"/>
      <c r="I7" s="296"/>
      <c r="J7" s="297"/>
      <c r="K7" s="298"/>
      <c r="L7" s="299"/>
      <c r="M7" s="260"/>
      <c r="N7" s="260"/>
    </row>
    <row r="8" spans="1:14" ht="24.95" customHeight="1" x14ac:dyDescent="0.25">
      <c r="A8" s="300" t="s">
        <v>26</v>
      </c>
      <c r="B8" s="301">
        <v>460000000</v>
      </c>
      <c r="C8" s="302">
        <v>460000000</v>
      </c>
      <c r="D8" s="303">
        <v>230000000</v>
      </c>
      <c r="E8" s="304">
        <v>230000000</v>
      </c>
      <c r="F8" s="305"/>
      <c r="G8" s="306">
        <v>230000000</v>
      </c>
      <c r="H8" s="268"/>
      <c r="I8" s="307"/>
      <c r="J8" s="308">
        <v>460000000</v>
      </c>
      <c r="K8" s="309"/>
      <c r="L8" s="260"/>
      <c r="M8" s="260"/>
      <c r="N8" s="260"/>
    </row>
    <row r="9" spans="1:14" ht="24.95" customHeight="1" x14ac:dyDescent="0.25">
      <c r="A9" s="300" t="s">
        <v>190</v>
      </c>
      <c r="B9" s="310">
        <v>200000000</v>
      </c>
      <c r="C9" s="311">
        <v>200000000</v>
      </c>
      <c r="D9" s="312">
        <v>100000000</v>
      </c>
      <c r="E9" s="313">
        <v>100000000</v>
      </c>
      <c r="F9" s="305"/>
      <c r="G9" s="306">
        <v>100000000</v>
      </c>
      <c r="H9" s="664" t="s">
        <v>191</v>
      </c>
      <c r="I9" s="314"/>
      <c r="J9" s="315">
        <v>200000000</v>
      </c>
      <c r="K9" s="316"/>
      <c r="L9" s="260"/>
      <c r="M9" s="260"/>
      <c r="N9" s="260"/>
    </row>
    <row r="10" spans="1:14" ht="24.95" customHeight="1" x14ac:dyDescent="0.25">
      <c r="A10" s="300" t="s">
        <v>192</v>
      </c>
      <c r="B10" s="310">
        <v>200000000</v>
      </c>
      <c r="C10" s="317">
        <v>200000000</v>
      </c>
      <c r="D10" s="318">
        <v>200000000</v>
      </c>
      <c r="E10" s="313"/>
      <c r="F10" s="250" t="s">
        <v>193</v>
      </c>
      <c r="G10" s="306">
        <v>100000000</v>
      </c>
      <c r="H10" s="665"/>
      <c r="I10" s="314"/>
      <c r="J10" s="315">
        <v>200000000</v>
      </c>
      <c r="K10" s="316"/>
      <c r="L10" s="260"/>
      <c r="M10" s="260"/>
      <c r="N10" s="260"/>
    </row>
    <row r="11" spans="1:14" ht="24.95" customHeight="1" x14ac:dyDescent="0.25">
      <c r="A11" s="300" t="s">
        <v>38</v>
      </c>
      <c r="B11" s="310">
        <v>200000000</v>
      </c>
      <c r="C11" s="319">
        <v>200000000</v>
      </c>
      <c r="D11" s="320">
        <v>200000000</v>
      </c>
      <c r="E11" s="313"/>
      <c r="F11" s="305"/>
      <c r="G11" s="321">
        <v>200000000</v>
      </c>
      <c r="H11" s="268"/>
      <c r="I11" s="314"/>
      <c r="J11" s="315">
        <v>200000000</v>
      </c>
      <c r="K11" s="316"/>
      <c r="L11" s="260"/>
      <c r="M11" s="260"/>
      <c r="N11" s="260"/>
    </row>
    <row r="12" spans="1:14" ht="24.95" customHeight="1" x14ac:dyDescent="0.25">
      <c r="A12" s="300" t="s">
        <v>171</v>
      </c>
      <c r="B12" s="322">
        <v>1000000000</v>
      </c>
      <c r="C12" s="323">
        <v>1000000000</v>
      </c>
      <c r="D12" s="324">
        <v>1000000000</v>
      </c>
      <c r="E12" s="325"/>
      <c r="F12" s="250" t="s">
        <v>194</v>
      </c>
      <c r="G12" s="306">
        <v>0</v>
      </c>
      <c r="H12" s="268" t="s">
        <v>195</v>
      </c>
      <c r="I12" s="314" t="s">
        <v>196</v>
      </c>
      <c r="J12" s="314">
        <v>500000000</v>
      </c>
      <c r="K12" s="316"/>
      <c r="L12" s="260"/>
      <c r="M12" s="260"/>
      <c r="N12" s="260"/>
    </row>
    <row r="13" spans="1:14" ht="24.95" customHeight="1" x14ac:dyDescent="0.25">
      <c r="A13" s="300" t="s">
        <v>32</v>
      </c>
      <c r="B13" s="326">
        <v>1000000000</v>
      </c>
      <c r="C13" s="327">
        <v>1000000000</v>
      </c>
      <c r="D13" s="320">
        <v>1000000000</v>
      </c>
      <c r="E13" s="313"/>
      <c r="F13" s="305"/>
      <c r="G13" s="321">
        <v>1000000000</v>
      </c>
      <c r="H13" s="268"/>
      <c r="I13" s="314" t="s">
        <v>197</v>
      </c>
      <c r="J13" s="315">
        <v>1000000000</v>
      </c>
      <c r="K13" s="316"/>
      <c r="L13" s="260"/>
      <c r="M13" s="260"/>
      <c r="N13" s="260"/>
    </row>
    <row r="14" spans="1:14" ht="24.95" customHeight="1" x14ac:dyDescent="0.25">
      <c r="A14" s="328" t="s">
        <v>198</v>
      </c>
      <c r="B14" s="329">
        <v>100000000</v>
      </c>
      <c r="C14" s="330">
        <v>100000000</v>
      </c>
      <c r="D14" s="331">
        <v>100000000</v>
      </c>
      <c r="E14" s="332"/>
      <c r="F14" s="305"/>
      <c r="G14" s="321">
        <v>100000000</v>
      </c>
      <c r="H14" s="268"/>
      <c r="I14" s="314"/>
      <c r="J14" s="314"/>
      <c r="K14" s="316"/>
      <c r="L14" s="260"/>
      <c r="M14" s="260"/>
      <c r="N14" s="260"/>
    </row>
    <row r="15" spans="1:14" ht="24.95" customHeight="1" x14ac:dyDescent="0.25">
      <c r="A15" s="328" t="s">
        <v>34</v>
      </c>
      <c r="B15" s="333">
        <v>275000000</v>
      </c>
      <c r="C15" s="334">
        <v>275000000</v>
      </c>
      <c r="D15" s="331">
        <v>275000000</v>
      </c>
      <c r="E15" s="332"/>
      <c r="F15" s="305"/>
      <c r="G15" s="321">
        <v>275000000</v>
      </c>
      <c r="H15" s="268"/>
      <c r="I15" s="314"/>
      <c r="J15" s="314"/>
      <c r="K15" s="316"/>
      <c r="L15" s="260"/>
      <c r="M15" s="260"/>
      <c r="N15" s="260"/>
    </row>
    <row r="16" spans="1:14" ht="24.95" customHeight="1" x14ac:dyDescent="0.25">
      <c r="A16" s="328" t="s">
        <v>35</v>
      </c>
      <c r="B16" s="333">
        <v>225000000</v>
      </c>
      <c r="C16" s="335">
        <v>225000000</v>
      </c>
      <c r="D16" s="336">
        <v>225000000</v>
      </c>
      <c r="E16" s="337"/>
      <c r="F16" s="305"/>
      <c r="G16" s="321">
        <v>225000000</v>
      </c>
      <c r="H16" s="268"/>
      <c r="I16" s="314"/>
      <c r="J16" s="314"/>
      <c r="K16" s="316"/>
      <c r="L16" s="260"/>
      <c r="M16" s="260"/>
      <c r="N16" s="260"/>
    </row>
    <row r="17" spans="1:14" ht="24.95" customHeight="1" x14ac:dyDescent="0.25">
      <c r="A17" s="328" t="s">
        <v>199</v>
      </c>
      <c r="B17" s="333">
        <v>400000000</v>
      </c>
      <c r="C17" s="338">
        <v>400000000</v>
      </c>
      <c r="D17" s="339">
        <v>400000000</v>
      </c>
      <c r="E17" s="340"/>
      <c r="F17" s="305"/>
      <c r="G17" s="321">
        <v>400000000</v>
      </c>
      <c r="H17" s="268"/>
      <c r="I17" s="314"/>
      <c r="J17" s="314"/>
      <c r="K17" s="316"/>
      <c r="L17" s="260"/>
      <c r="M17" s="260"/>
      <c r="N17" s="260"/>
    </row>
    <row r="18" spans="1:14" ht="24.95" customHeight="1" x14ac:dyDescent="0.25">
      <c r="A18" s="341" t="s">
        <v>200</v>
      </c>
      <c r="B18" s="342">
        <v>500000000</v>
      </c>
      <c r="C18" s="343">
        <v>500000000</v>
      </c>
      <c r="D18" s="344">
        <v>500000000</v>
      </c>
      <c r="E18" s="345"/>
      <c r="F18" s="305"/>
      <c r="G18" s="321">
        <v>500000000</v>
      </c>
      <c r="H18" s="268"/>
      <c r="I18" s="314"/>
      <c r="J18" s="346">
        <v>500000000</v>
      </c>
      <c r="K18" s="316"/>
      <c r="L18" s="260"/>
      <c r="M18" s="260"/>
      <c r="N18" s="260"/>
    </row>
    <row r="19" spans="1:14" s="347" customFormat="1" ht="24.95" customHeight="1" x14ac:dyDescent="0.25">
      <c r="A19" s="341" t="s">
        <v>201</v>
      </c>
      <c r="B19" s="348">
        <v>200000000</v>
      </c>
      <c r="C19" s="348">
        <v>200000000</v>
      </c>
      <c r="D19" s="349">
        <v>200000000</v>
      </c>
      <c r="E19" s="350"/>
      <c r="F19" s="351"/>
      <c r="G19" s="321">
        <v>200000000</v>
      </c>
      <c r="H19" s="352"/>
      <c r="I19" s="353">
        <v>88732809</v>
      </c>
      <c r="J19" s="354">
        <v>200000000</v>
      </c>
      <c r="K19" s="355">
        <f t="shared" ref="K19:K20" si="0">B19-I19</f>
        <v>111267191</v>
      </c>
      <c r="L19" s="356"/>
      <c r="M19" s="356"/>
      <c r="N19" s="356"/>
    </row>
    <row r="20" spans="1:14" s="347" customFormat="1" ht="24.95" customHeight="1" x14ac:dyDescent="0.25">
      <c r="A20" s="341" t="s">
        <v>202</v>
      </c>
      <c r="B20" s="348">
        <v>160000000</v>
      </c>
      <c r="C20" s="348">
        <v>160000000</v>
      </c>
      <c r="D20" s="349">
        <v>160000000</v>
      </c>
      <c r="E20" s="350"/>
      <c r="F20" s="351"/>
      <c r="G20" s="321">
        <v>160000000</v>
      </c>
      <c r="H20" s="352"/>
      <c r="I20" s="353">
        <v>141717084</v>
      </c>
      <c r="J20" s="354">
        <v>210000000</v>
      </c>
      <c r="K20" s="357">
        <f t="shared" si="0"/>
        <v>18282916</v>
      </c>
      <c r="L20" s="356"/>
      <c r="M20" s="356"/>
      <c r="N20" s="356"/>
    </row>
    <row r="21" spans="1:14" s="347" customFormat="1" ht="24.95" customHeight="1" x14ac:dyDescent="0.25">
      <c r="A21" s="341" t="s">
        <v>203</v>
      </c>
      <c r="B21" s="348">
        <v>300000000</v>
      </c>
      <c r="C21" s="348">
        <v>300000000</v>
      </c>
      <c r="D21" s="349">
        <v>300000000</v>
      </c>
      <c r="E21" s="350"/>
      <c r="F21" s="351"/>
      <c r="G21" s="321">
        <v>300000000</v>
      </c>
      <c r="H21" s="352"/>
      <c r="I21" s="314" t="s">
        <v>197</v>
      </c>
      <c r="J21" s="314">
        <v>150000000</v>
      </c>
      <c r="K21" s="358"/>
      <c r="L21" s="356"/>
      <c r="M21" s="356"/>
      <c r="N21" s="356"/>
    </row>
    <row r="22" spans="1:14" ht="24.95" customHeight="1" x14ac:dyDescent="0.25">
      <c r="A22" s="341" t="s">
        <v>204</v>
      </c>
      <c r="B22" s="348">
        <v>1000000000</v>
      </c>
      <c r="C22" s="348">
        <v>1000000000</v>
      </c>
      <c r="D22" s="349">
        <v>1000000000</v>
      </c>
      <c r="E22" s="350"/>
      <c r="F22" s="359"/>
      <c r="G22" s="321">
        <v>1000000000</v>
      </c>
      <c r="H22" s="268"/>
      <c r="I22" s="314" t="s">
        <v>197</v>
      </c>
      <c r="J22" s="360">
        <v>1000000000</v>
      </c>
      <c r="K22" s="361"/>
      <c r="L22" s="260"/>
      <c r="M22" s="260"/>
      <c r="N22" s="260"/>
    </row>
    <row r="23" spans="1:14" ht="24.95" customHeight="1" x14ac:dyDescent="0.25">
      <c r="A23" s="341" t="s">
        <v>205</v>
      </c>
      <c r="B23" s="362">
        <v>91584000</v>
      </c>
      <c r="C23" s="362">
        <v>91584000</v>
      </c>
      <c r="D23" s="362">
        <v>91584000</v>
      </c>
      <c r="E23" s="350" t="s">
        <v>206</v>
      </c>
      <c r="F23" s="359"/>
      <c r="G23" s="306">
        <v>91584000</v>
      </c>
      <c r="H23" s="268" t="s">
        <v>207</v>
      </c>
      <c r="J23" s="363"/>
      <c r="K23" s="316"/>
      <c r="L23" s="260"/>
      <c r="M23" s="260"/>
      <c r="N23" s="260"/>
    </row>
    <row r="24" spans="1:14" ht="24.95" customHeight="1" x14ac:dyDescent="0.25">
      <c r="A24" s="341" t="s">
        <v>31</v>
      </c>
      <c r="B24" s="364">
        <v>360000000</v>
      </c>
      <c r="C24" s="364">
        <v>360000000</v>
      </c>
      <c r="D24" s="364">
        <v>360000000</v>
      </c>
      <c r="E24" s="350" t="s">
        <v>208</v>
      </c>
      <c r="F24" s="359"/>
      <c r="G24" s="306">
        <v>360000000</v>
      </c>
      <c r="H24" s="268" t="s">
        <v>209</v>
      </c>
      <c r="J24" s="363"/>
      <c r="K24" s="316"/>
      <c r="L24" s="260"/>
      <c r="M24" s="260"/>
      <c r="N24" s="260"/>
    </row>
    <row r="25" spans="1:14" ht="39" customHeight="1" x14ac:dyDescent="0.25">
      <c r="A25" s="365" t="s">
        <v>210</v>
      </c>
      <c r="B25" s="366">
        <v>1000000000</v>
      </c>
      <c r="C25" s="366">
        <v>1000000000</v>
      </c>
      <c r="D25" s="366">
        <v>1000000000</v>
      </c>
      <c r="E25" s="278"/>
      <c r="F25" s="367"/>
      <c r="G25" s="321">
        <v>1000000000</v>
      </c>
      <c r="H25" s="268" t="s">
        <v>211</v>
      </c>
      <c r="I25" s="368"/>
      <c r="J25" s="369"/>
      <c r="K25" s="370"/>
      <c r="L25" s="260"/>
      <c r="M25" s="260"/>
      <c r="N25" s="260"/>
    </row>
    <row r="26" spans="1:14" ht="39" customHeight="1" x14ac:dyDescent="0.25">
      <c r="A26" s="371" t="s">
        <v>212</v>
      </c>
      <c r="B26" s="372">
        <v>17997184000</v>
      </c>
      <c r="C26" s="372">
        <v>17133984000</v>
      </c>
      <c r="D26" s="372">
        <f>D5+D6+D7+D25</f>
        <v>17133984000</v>
      </c>
      <c r="E26" s="373"/>
      <c r="F26" s="374"/>
      <c r="G26" s="375">
        <f>G5+G7+G25</f>
        <v>13961584000</v>
      </c>
      <c r="H26" s="376" t="s">
        <v>213</v>
      </c>
      <c r="I26" s="377"/>
      <c r="J26" s="377"/>
      <c r="K26" s="378"/>
      <c r="L26" s="379">
        <f>G26+D6+E8+E9+D12+100000000</f>
        <v>17133984000</v>
      </c>
      <c r="M26" s="260"/>
      <c r="N26" s="260"/>
    </row>
    <row r="27" spans="1:14" ht="39" customHeight="1" x14ac:dyDescent="0.25">
      <c r="A27" s="380" t="s">
        <v>214</v>
      </c>
      <c r="B27" s="381">
        <v>878816000</v>
      </c>
      <c r="C27" s="381">
        <v>290016000</v>
      </c>
      <c r="D27" s="381">
        <f>C4-D26</f>
        <v>290016000</v>
      </c>
      <c r="E27" s="382"/>
      <c r="F27" s="367"/>
      <c r="G27" s="375">
        <f>G4-G26</f>
        <v>3473424896</v>
      </c>
      <c r="H27" s="268"/>
      <c r="I27" s="383"/>
      <c r="J27" s="383"/>
      <c r="K27" s="384"/>
      <c r="L27" s="260"/>
      <c r="M27" s="260"/>
      <c r="N27" s="260"/>
    </row>
    <row r="28" spans="1:14" ht="39" customHeight="1" x14ac:dyDescent="0.25">
      <c r="A28" s="385"/>
      <c r="B28" s="385"/>
      <c r="C28" s="385"/>
      <c r="D28" s="385"/>
      <c r="E28" s="386"/>
      <c r="F28" s="367"/>
      <c r="G28" s="321"/>
      <c r="H28" s="268"/>
      <c r="I28" s="383"/>
      <c r="J28" s="383"/>
      <c r="K28" s="384"/>
      <c r="L28" s="260"/>
      <c r="M28" s="260"/>
      <c r="N28" s="260"/>
    </row>
    <row r="29" spans="1:14" ht="39" customHeight="1" x14ac:dyDescent="0.25">
      <c r="A29" s="666" t="s">
        <v>215</v>
      </c>
      <c r="B29" s="667"/>
      <c r="C29" s="667"/>
      <c r="D29" s="667"/>
      <c r="E29" s="668"/>
      <c r="F29" s="367"/>
      <c r="G29" s="321"/>
      <c r="H29" s="268"/>
      <c r="I29" s="383"/>
      <c r="J29" s="383"/>
      <c r="K29" s="384"/>
      <c r="L29" s="260"/>
      <c r="M29" s="260"/>
      <c r="N29" s="260"/>
    </row>
    <row r="30" spans="1:14" ht="39" customHeight="1" x14ac:dyDescent="0.25">
      <c r="A30" s="387" t="s">
        <v>216</v>
      </c>
      <c r="B30" s="388"/>
      <c r="C30" s="388"/>
      <c r="D30" s="389">
        <v>10000000</v>
      </c>
      <c r="E30" s="390" t="s">
        <v>217</v>
      </c>
      <c r="F30" s="391"/>
      <c r="G30" s="392"/>
      <c r="H30" s="268"/>
      <c r="I30" s="383"/>
      <c r="J30" s="383"/>
      <c r="K30" s="384"/>
      <c r="L30" s="260"/>
      <c r="M30" s="260"/>
      <c r="N30" s="260"/>
    </row>
    <row r="31" spans="1:14" ht="39" customHeight="1" x14ac:dyDescent="0.25">
      <c r="A31" s="393" t="s">
        <v>218</v>
      </c>
      <c r="B31" s="394"/>
      <c r="C31" s="394"/>
      <c r="D31" s="395">
        <v>50000000</v>
      </c>
      <c r="E31" s="396" t="s">
        <v>219</v>
      </c>
      <c r="G31" s="392"/>
      <c r="H31" s="397"/>
      <c r="I31" s="398"/>
      <c r="J31" s="398"/>
      <c r="K31" s="399"/>
      <c r="L31" s="260"/>
      <c r="M31" s="260"/>
      <c r="N31" s="260"/>
    </row>
    <row r="32" spans="1:14" ht="39" customHeight="1" x14ac:dyDescent="0.25">
      <c r="A32" s="400" t="s">
        <v>220</v>
      </c>
      <c r="B32" s="401"/>
      <c r="C32" s="401"/>
      <c r="D32" s="401">
        <f>D26+D30+D31</f>
        <v>17193984000</v>
      </c>
      <c r="E32" s="402"/>
      <c r="F32" s="403"/>
      <c r="G32" s="404" t="s">
        <v>53</v>
      </c>
      <c r="H32" s="404" t="s">
        <v>221</v>
      </c>
      <c r="I32" s="398"/>
      <c r="J32" s="398"/>
      <c r="K32" s="399"/>
      <c r="L32" s="260"/>
      <c r="M32" s="260"/>
      <c r="N32" s="260"/>
    </row>
    <row r="33" spans="1:14" ht="39" customHeight="1" x14ac:dyDescent="0.25">
      <c r="A33" s="400" t="s">
        <v>222</v>
      </c>
      <c r="B33" s="401"/>
      <c r="C33" s="401"/>
      <c r="D33" s="401">
        <f>C4-D32</f>
        <v>230016000</v>
      </c>
      <c r="E33" s="402"/>
      <c r="F33" s="405" t="s">
        <v>223</v>
      </c>
      <c r="G33" s="406">
        <v>47713679</v>
      </c>
      <c r="H33" s="406">
        <f t="shared" ref="H33:H34" si="1">G33*24</f>
        <v>1145128296</v>
      </c>
      <c r="I33" s="398"/>
      <c r="J33" s="398"/>
      <c r="K33" s="399"/>
      <c r="L33" s="260"/>
      <c r="M33" s="260"/>
      <c r="N33" s="260"/>
    </row>
    <row r="34" spans="1:14" ht="39" customHeight="1" x14ac:dyDescent="0.25">
      <c r="A34" s="669" t="s">
        <v>224</v>
      </c>
      <c r="B34" s="670"/>
      <c r="C34" s="670"/>
      <c r="D34" s="670"/>
      <c r="E34" s="671"/>
      <c r="F34" s="405" t="s">
        <v>225</v>
      </c>
      <c r="G34" s="406">
        <v>47713679</v>
      </c>
      <c r="H34" s="406">
        <f t="shared" si="1"/>
        <v>1145128296</v>
      </c>
      <c r="I34" s="398"/>
      <c r="J34" s="398"/>
      <c r="K34" s="399"/>
      <c r="L34" s="260"/>
      <c r="M34" s="260"/>
      <c r="N34" s="260"/>
    </row>
    <row r="35" spans="1:14" ht="39" customHeight="1" x14ac:dyDescent="0.25">
      <c r="A35" s="407" t="s">
        <v>226</v>
      </c>
      <c r="B35" s="408"/>
      <c r="C35" s="408"/>
      <c r="D35" s="409">
        <v>500000000</v>
      </c>
      <c r="E35" s="410" t="s">
        <v>219</v>
      </c>
      <c r="F35" s="411" t="s">
        <v>227</v>
      </c>
      <c r="G35" s="412"/>
      <c r="H35" s="406">
        <v>1183168304</v>
      </c>
      <c r="I35" s="398"/>
      <c r="J35" s="398"/>
      <c r="K35" s="399"/>
      <c r="L35" s="260"/>
      <c r="M35" s="260"/>
      <c r="N35" s="260"/>
    </row>
    <row r="36" spans="1:14" ht="39" customHeight="1" x14ac:dyDescent="0.25">
      <c r="A36" s="400" t="s">
        <v>220</v>
      </c>
      <c r="B36" s="401"/>
      <c r="C36" s="401"/>
      <c r="D36" s="401">
        <f>D26+D30+D31+D35</f>
        <v>17693984000</v>
      </c>
      <c r="E36" s="402"/>
      <c r="F36" s="413" t="s">
        <v>134</v>
      </c>
      <c r="G36" s="414"/>
      <c r="H36" s="415">
        <f>SUM(H33:H35)</f>
        <v>3473424896</v>
      </c>
      <c r="I36" s="398"/>
      <c r="J36" s="398"/>
      <c r="K36" s="399"/>
      <c r="L36" s="260"/>
      <c r="M36" s="260"/>
      <c r="N36" s="260"/>
    </row>
    <row r="37" spans="1:14" ht="39" customHeight="1" x14ac:dyDescent="0.25">
      <c r="A37" s="400" t="s">
        <v>222</v>
      </c>
      <c r="B37" s="401"/>
      <c r="C37" s="401"/>
      <c r="D37" s="401">
        <f>C4-D36</f>
        <v>-269984000</v>
      </c>
      <c r="E37" s="402"/>
      <c r="F37" s="416"/>
      <c r="I37" s="398"/>
      <c r="J37" s="398"/>
      <c r="K37" s="399"/>
      <c r="L37" s="260"/>
      <c r="M37" s="260"/>
      <c r="N37" s="260"/>
    </row>
    <row r="38" spans="1:14" ht="39" customHeight="1" x14ac:dyDescent="0.25">
      <c r="A38" s="672" t="s">
        <v>228</v>
      </c>
      <c r="B38" s="673"/>
      <c r="C38" s="673"/>
      <c r="D38" s="673"/>
      <c r="E38" s="674"/>
      <c r="H38" s="398"/>
      <c r="I38" s="398"/>
      <c r="J38" s="398"/>
      <c r="K38" s="399"/>
      <c r="L38" s="260"/>
      <c r="M38" s="260"/>
      <c r="N38" s="260"/>
    </row>
    <row r="39" spans="1:14" ht="48.75" customHeight="1" x14ac:dyDescent="0.25">
      <c r="A39" s="417" t="s">
        <v>229</v>
      </c>
      <c r="B39" s="418"/>
      <c r="C39" s="418"/>
      <c r="D39" s="419">
        <v>500000000</v>
      </c>
      <c r="E39" s="420" t="s">
        <v>230</v>
      </c>
      <c r="H39" s="421"/>
      <c r="I39" s="421"/>
      <c r="J39" s="422"/>
      <c r="K39" s="423"/>
      <c r="L39" s="424"/>
      <c r="M39" s="260"/>
      <c r="N39" s="260"/>
    </row>
    <row r="40" spans="1:14" ht="46.5" customHeight="1" x14ac:dyDescent="0.25">
      <c r="A40" s="425" t="s">
        <v>231</v>
      </c>
      <c r="B40" s="426"/>
      <c r="C40" s="426"/>
      <c r="D40" s="427">
        <v>150000000</v>
      </c>
      <c r="E40" s="428" t="s">
        <v>232</v>
      </c>
      <c r="I40" s="398"/>
      <c r="J40" s="398"/>
      <c r="K40" s="429"/>
      <c r="L40" s="430"/>
      <c r="M40" s="260"/>
      <c r="N40" s="260"/>
    </row>
    <row r="41" spans="1:14" ht="44.25" customHeight="1" x14ac:dyDescent="0.25">
      <c r="A41" s="400" t="s">
        <v>220</v>
      </c>
      <c r="B41" s="401"/>
      <c r="C41" s="401"/>
      <c r="D41" s="401">
        <f>D36-D39-D40</f>
        <v>17043984000</v>
      </c>
      <c r="E41" s="431"/>
      <c r="I41" s="398"/>
      <c r="J41" s="398"/>
      <c r="K41" s="429"/>
      <c r="L41" s="430"/>
      <c r="M41" s="260"/>
      <c r="N41" s="260"/>
    </row>
    <row r="42" spans="1:14" ht="44.45" customHeight="1" x14ac:dyDescent="0.25">
      <c r="A42" s="432" t="s">
        <v>222</v>
      </c>
      <c r="B42" s="433"/>
      <c r="C42" s="433"/>
      <c r="D42" s="433">
        <f>C4-D41</f>
        <v>380016000</v>
      </c>
      <c r="E42" s="431" t="s">
        <v>233</v>
      </c>
      <c r="I42" s="398"/>
      <c r="J42" s="398"/>
      <c r="K42" s="429"/>
      <c r="L42" s="430"/>
      <c r="M42" s="260"/>
      <c r="N42" s="260"/>
    </row>
    <row r="43" spans="1:14" ht="24.95" customHeight="1" x14ac:dyDescent="0.25">
      <c r="A43" s="434"/>
      <c r="B43" s="434"/>
      <c r="C43" s="434"/>
      <c r="D43" s="435"/>
      <c r="E43" s="434"/>
      <c r="I43" s="398"/>
      <c r="J43" s="398"/>
      <c r="K43" s="429"/>
      <c r="L43" s="430"/>
      <c r="M43" s="260"/>
      <c r="N43" s="260"/>
    </row>
    <row r="44" spans="1:14" ht="24.95" customHeight="1" x14ac:dyDescent="0.25">
      <c r="A44" s="434"/>
      <c r="B44" s="434"/>
      <c r="C44" s="434"/>
      <c r="D44" s="435"/>
      <c r="E44" s="434"/>
      <c r="I44" s="398"/>
      <c r="J44" s="398"/>
      <c r="K44" s="429"/>
      <c r="L44" s="436"/>
      <c r="M44" s="260"/>
      <c r="N44" s="260"/>
    </row>
    <row r="45" spans="1:14" ht="24.95" customHeight="1" x14ac:dyDescent="0.25">
      <c r="A45" s="434"/>
      <c r="B45" s="434"/>
      <c r="C45" s="434"/>
      <c r="D45" s="435"/>
      <c r="E45" s="434"/>
      <c r="F45" s="367"/>
      <c r="G45" s="367"/>
      <c r="H45" s="398"/>
      <c r="I45" s="398"/>
      <c r="J45" s="398"/>
      <c r="K45" s="429"/>
      <c r="L45" s="430"/>
      <c r="M45" s="260"/>
      <c r="N45" s="260"/>
    </row>
    <row r="46" spans="1:14" x14ac:dyDescent="0.25">
      <c r="H46" s="398"/>
      <c r="I46" s="398"/>
      <c r="J46" s="398"/>
      <c r="K46" s="437"/>
      <c r="L46" s="438"/>
    </row>
    <row r="47" spans="1:14" ht="105" customHeight="1" x14ac:dyDescent="0.25">
      <c r="H47" s="662"/>
      <c r="I47" s="662"/>
      <c r="J47" s="662"/>
      <c r="K47" s="662"/>
    </row>
    <row r="48" spans="1:14" ht="24.95" customHeight="1" x14ac:dyDescent="0.25">
      <c r="A48" s="139"/>
      <c r="B48" s="439"/>
      <c r="C48" s="139"/>
      <c r="D48" s="440"/>
      <c r="E48" s="139"/>
      <c r="F48" s="441"/>
      <c r="G48" s="441"/>
      <c r="I48" s="416"/>
      <c r="J48" s="416"/>
      <c r="L48" s="442"/>
      <c r="M48" s="260"/>
      <c r="N48" s="260"/>
    </row>
  </sheetData>
  <mergeCells count="6">
    <mergeCell ref="H47:K47"/>
    <mergeCell ref="B2:C2"/>
    <mergeCell ref="H9:H10"/>
    <mergeCell ref="A29:E29"/>
    <mergeCell ref="A34:E34"/>
    <mergeCell ref="A38:E38"/>
  </mergeCells>
  <pageMargins left="0.7" right="0.7" top="0.78740157500000008" bottom="0.78740157500000008" header="0.3" footer="0.3"/>
  <pageSetup paperSize="9" scale="38" firstPageNumber="2147483648" orientation="landscape"/>
  <headerFooter>
    <oddFooter>&amp;L_x000D_&amp;1#&amp;"Calibri"&amp;9&amp;K000000 Klasifikace informací: Neveřejné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n+3</vt:lpstr>
      <vt:lpstr>Finanční plán</vt:lpstr>
      <vt:lpstr>KVK</vt:lpstr>
      <vt:lpstr>KVK_navrh_kraje_202309</vt:lpstr>
      <vt:lpstr>ULK</vt:lpstr>
      <vt:lpstr>MSK</vt:lpstr>
      <vt:lpstr>MSK_rozdělení alokace_9_2023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prijmenij</dc:creator>
  <cp:lastModifiedBy>Janečková Romana</cp:lastModifiedBy>
  <cp:revision>3</cp:revision>
  <cp:lastPrinted>2023-11-01T10:51:06Z</cp:lastPrinted>
  <dcterms:created xsi:type="dcterms:W3CDTF">2023-09-26T07:41:43Z</dcterms:created>
  <dcterms:modified xsi:type="dcterms:W3CDTF">2023-11-01T10:54:16Z</dcterms:modified>
</cp:coreProperties>
</file>